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045" tabRatio="815"/>
  </bookViews>
  <sheets>
    <sheet name="72-08 руб завтрак 7-11 лет " sheetId="2" r:id="rId1"/>
    <sheet name="72-08 руб завтрак 12-18 лет" sheetId="6" r:id="rId2"/>
    <sheet name="147 руб 7-11 лет " sheetId="1" r:id="rId3"/>
    <sheet name="147 руб 12-18 лет " sheetId="7" r:id="rId4"/>
    <sheet name="127-49 руб 7-11 лет  коррек" sheetId="8" state="hidden" r:id="rId5"/>
    <sheet name="139-29  руб 12-18 лет коррекц " sheetId="9" state="hidden" r:id="rId6"/>
    <sheet name="148 руб 12-18 лет " sheetId="12" r:id="rId7"/>
  </sheets>
  <definedNames>
    <definedName name="_xlnm.Print_Area" localSheetId="4">'127-49 руб 7-11 лет  коррек'!$A$1:$N$159</definedName>
    <definedName name="_xlnm.Print_Area" localSheetId="5">'139-29  руб 12-18 лет коррекц '!$A$1:$N$161</definedName>
    <definedName name="_xlnm.Print_Area" localSheetId="3">'147 руб 12-18 лет '!$A$3:$G$160</definedName>
    <definedName name="_xlnm.Print_Area" localSheetId="2">'147 руб 7-11 лет '!$A$3:$G$161</definedName>
    <definedName name="_xlnm.Print_Area" localSheetId="6">'148 руб 12-18 лет '!$A$3:$G$160</definedName>
    <definedName name="_xlnm.Print_Area" localSheetId="1">'72-08 руб завтрак 12-18 лет'!$A$3:$G$84</definedName>
    <definedName name="_xlnm.Print_Area" localSheetId="0">'72-08 руб завтрак 7-11 лет '!$A$3:$G$84</definedName>
  </definedNames>
  <calcPr calcId="162913"/>
</workbook>
</file>

<file path=xl/calcChain.xml><?xml version="1.0" encoding="utf-8"?>
<calcChain xmlns="http://schemas.openxmlformats.org/spreadsheetml/2006/main">
  <c r="E237" i="12"/>
  <c r="F237"/>
  <c r="G237"/>
  <c r="D237"/>
  <c r="E237" i="7"/>
  <c r="F237"/>
  <c r="G237"/>
  <c r="D237"/>
  <c r="E240" i="1"/>
  <c r="F240"/>
  <c r="G240"/>
  <c r="D240"/>
  <c r="E9" i="12"/>
  <c r="F9"/>
  <c r="G9"/>
  <c r="D9"/>
  <c r="E9" i="7"/>
  <c r="F9"/>
  <c r="G9"/>
  <c r="D9"/>
  <c r="E239" i="1"/>
  <c r="F239"/>
  <c r="G239"/>
  <c r="D239"/>
  <c r="E9"/>
  <c r="F9"/>
  <c r="G9"/>
  <c r="D9"/>
  <c r="E125" i="6"/>
  <c r="F125"/>
  <c r="G125"/>
  <c r="D125"/>
  <c r="C132"/>
  <c r="C132" i="2"/>
  <c r="E125"/>
  <c r="F125"/>
  <c r="G125"/>
  <c r="D125"/>
  <c r="G302" i="12"/>
  <c r="F302"/>
  <c r="E302"/>
  <c r="D302"/>
  <c r="E281"/>
  <c r="F281"/>
  <c r="G281"/>
  <c r="D281"/>
  <c r="E288"/>
  <c r="F288"/>
  <c r="G288"/>
  <c r="D288"/>
  <c r="E282"/>
  <c r="F282"/>
  <c r="G282"/>
  <c r="D282"/>
  <c r="G286"/>
  <c r="F286"/>
  <c r="E286"/>
  <c r="D286"/>
  <c r="E253"/>
  <c r="F253"/>
  <c r="G253"/>
  <c r="D253"/>
  <c r="E260"/>
  <c r="F260"/>
  <c r="G260"/>
  <c r="D260"/>
  <c r="E254"/>
  <c r="F254"/>
  <c r="G254"/>
  <c r="D254"/>
  <c r="G272"/>
  <c r="F272"/>
  <c r="E272"/>
  <c r="D272"/>
  <c r="D268"/>
  <c r="G258"/>
  <c r="F258"/>
  <c r="E258"/>
  <c r="D258"/>
  <c r="G236"/>
  <c r="G243"/>
  <c r="F243"/>
  <c r="E243"/>
  <c r="D243"/>
  <c r="E229"/>
  <c r="E222"/>
  <c r="F229"/>
  <c r="F222"/>
  <c r="G229"/>
  <c r="G222"/>
  <c r="D229"/>
  <c r="D222"/>
  <c r="E223"/>
  <c r="F223"/>
  <c r="G223"/>
  <c r="D223"/>
  <c r="G227"/>
  <c r="F227"/>
  <c r="E227"/>
  <c r="D227"/>
  <c r="E207"/>
  <c r="F207"/>
  <c r="G207"/>
  <c r="D207"/>
  <c r="E214"/>
  <c r="F214"/>
  <c r="G214"/>
  <c r="D214"/>
  <c r="E208"/>
  <c r="F208"/>
  <c r="G208"/>
  <c r="D208"/>
  <c r="G212"/>
  <c r="F212"/>
  <c r="E212"/>
  <c r="D212"/>
  <c r="E193"/>
  <c r="F193"/>
  <c r="G193"/>
  <c r="D193"/>
  <c r="E200"/>
  <c r="F200"/>
  <c r="G200"/>
  <c r="D200"/>
  <c r="E194"/>
  <c r="F194"/>
  <c r="G194"/>
  <c r="D194"/>
  <c r="G198"/>
  <c r="F198"/>
  <c r="E198"/>
  <c r="D198"/>
  <c r="E179"/>
  <c r="F179"/>
  <c r="G179"/>
  <c r="D179"/>
  <c r="C169"/>
  <c r="G183"/>
  <c r="F183"/>
  <c r="E183"/>
  <c r="D183"/>
  <c r="E161"/>
  <c r="F161"/>
  <c r="G161"/>
  <c r="D161"/>
  <c r="E170"/>
  <c r="F170"/>
  <c r="G170"/>
  <c r="D170"/>
  <c r="E162"/>
  <c r="F162"/>
  <c r="G162"/>
  <c r="D162"/>
  <c r="G168"/>
  <c r="F168"/>
  <c r="E168"/>
  <c r="D168"/>
  <c r="C310"/>
  <c r="G306"/>
  <c r="F306"/>
  <c r="E306"/>
  <c r="D306"/>
  <c r="G304"/>
  <c r="F304"/>
  <c r="F296"/>
  <c r="E304"/>
  <c r="D304"/>
  <c r="C303"/>
  <c r="G297"/>
  <c r="F297"/>
  <c r="E297"/>
  <c r="E296"/>
  <c r="D297"/>
  <c r="C295"/>
  <c r="D293"/>
  <c r="F292"/>
  <c r="E292"/>
  <c r="G290"/>
  <c r="F290"/>
  <c r="E290"/>
  <c r="D290"/>
  <c r="G289"/>
  <c r="F289"/>
  <c r="E289"/>
  <c r="D289"/>
  <c r="C287"/>
  <c r="C280"/>
  <c r="D278"/>
  <c r="G276"/>
  <c r="F276"/>
  <c r="E276"/>
  <c r="D276"/>
  <c r="G275"/>
  <c r="F275"/>
  <c r="E275"/>
  <c r="D275"/>
  <c r="G274"/>
  <c r="F274"/>
  <c r="E274"/>
  <c r="D274"/>
  <c r="C273"/>
  <c r="G268"/>
  <c r="F268"/>
  <c r="E268"/>
  <c r="E267"/>
  <c r="F267"/>
  <c r="C266"/>
  <c r="G265"/>
  <c r="F265"/>
  <c r="E265"/>
  <c r="D265"/>
  <c r="G262"/>
  <c r="F262"/>
  <c r="E262"/>
  <c r="D262"/>
  <c r="G261"/>
  <c r="F261"/>
  <c r="E261"/>
  <c r="D261"/>
  <c r="C259"/>
  <c r="F255"/>
  <c r="E255"/>
  <c r="D255"/>
  <c r="C252"/>
  <c r="F249"/>
  <c r="E249"/>
  <c r="D249"/>
  <c r="G247"/>
  <c r="F247"/>
  <c r="F245"/>
  <c r="E247"/>
  <c r="D247"/>
  <c r="F246"/>
  <c r="E246"/>
  <c r="E245"/>
  <c r="E236"/>
  <c r="D246"/>
  <c r="G245"/>
  <c r="D245"/>
  <c r="F236"/>
  <c r="C235"/>
  <c r="D233"/>
  <c r="F231"/>
  <c r="E231"/>
  <c r="D231"/>
  <c r="G230"/>
  <c r="F230"/>
  <c r="E230"/>
  <c r="D230"/>
  <c r="C228"/>
  <c r="C221"/>
  <c r="G216"/>
  <c r="F216"/>
  <c r="E216"/>
  <c r="D216"/>
  <c r="F215"/>
  <c r="D215"/>
  <c r="C213"/>
  <c r="F210"/>
  <c r="E210"/>
  <c r="D210"/>
  <c r="C206"/>
  <c r="G202"/>
  <c r="F202"/>
  <c r="E202"/>
  <c r="D202"/>
  <c r="F201"/>
  <c r="E201"/>
  <c r="D201"/>
  <c r="C199"/>
  <c r="C192"/>
  <c r="G189"/>
  <c r="F189"/>
  <c r="E189"/>
  <c r="D189"/>
  <c r="G185"/>
  <c r="F185"/>
  <c r="E185"/>
  <c r="D185"/>
  <c r="C184"/>
  <c r="G181"/>
  <c r="F181"/>
  <c r="F178"/>
  <c r="E181"/>
  <c r="E178"/>
  <c r="D181"/>
  <c r="F180"/>
  <c r="E180"/>
  <c r="D180"/>
  <c r="D178"/>
  <c r="G178"/>
  <c r="G174"/>
  <c r="F174"/>
  <c r="E174"/>
  <c r="D174"/>
  <c r="G171"/>
  <c r="F171"/>
  <c r="E171"/>
  <c r="D171"/>
  <c r="E297" i="7"/>
  <c r="F297"/>
  <c r="G297"/>
  <c r="D297"/>
  <c r="E304"/>
  <c r="E296"/>
  <c r="F304"/>
  <c r="F296"/>
  <c r="G304"/>
  <c r="G296"/>
  <c r="D304"/>
  <c r="D296"/>
  <c r="G306"/>
  <c r="F306"/>
  <c r="E306"/>
  <c r="D306"/>
  <c r="D293"/>
  <c r="F292"/>
  <c r="E292"/>
  <c r="G289"/>
  <c r="F289"/>
  <c r="E289"/>
  <c r="D289"/>
  <c r="G296" i="12"/>
  <c r="D296"/>
  <c r="D267"/>
  <c r="G267"/>
  <c r="D236"/>
  <c r="G276" i="7"/>
  <c r="F276"/>
  <c r="E276"/>
  <c r="D276"/>
  <c r="G275"/>
  <c r="G274"/>
  <c r="F275"/>
  <c r="F274"/>
  <c r="E275"/>
  <c r="E274"/>
  <c r="D275"/>
  <c r="G272"/>
  <c r="G268"/>
  <c r="F272"/>
  <c r="F268"/>
  <c r="E272"/>
  <c r="E268"/>
  <c r="E267"/>
  <c r="D272"/>
  <c r="D268"/>
  <c r="G254"/>
  <c r="G265"/>
  <c r="F265"/>
  <c r="E265"/>
  <c r="D265"/>
  <c r="G262"/>
  <c r="F262"/>
  <c r="E262"/>
  <c r="D262"/>
  <c r="G261"/>
  <c r="G260"/>
  <c r="F261"/>
  <c r="F260"/>
  <c r="E261"/>
  <c r="E260"/>
  <c r="D261"/>
  <c r="D260"/>
  <c r="F255"/>
  <c r="F254"/>
  <c r="F253"/>
  <c r="E255"/>
  <c r="E254"/>
  <c r="D255"/>
  <c r="D254"/>
  <c r="D253"/>
  <c r="F249"/>
  <c r="E249"/>
  <c r="D249"/>
  <c r="G247"/>
  <c r="G245"/>
  <c r="F247"/>
  <c r="E247"/>
  <c r="D247"/>
  <c r="F246"/>
  <c r="F245"/>
  <c r="E246"/>
  <c r="D246"/>
  <c r="D245"/>
  <c r="F267"/>
  <c r="G267"/>
  <c r="E245"/>
  <c r="E253"/>
  <c r="G253"/>
  <c r="D233"/>
  <c r="F231"/>
  <c r="E231"/>
  <c r="D231"/>
  <c r="G230"/>
  <c r="G229"/>
  <c r="F230"/>
  <c r="F229"/>
  <c r="E230"/>
  <c r="E229"/>
  <c r="D230"/>
  <c r="G208"/>
  <c r="G216"/>
  <c r="G214"/>
  <c r="F216"/>
  <c r="E216"/>
  <c r="E214"/>
  <c r="D216"/>
  <c r="F215"/>
  <c r="F214"/>
  <c r="D215"/>
  <c r="D229"/>
  <c r="G207"/>
  <c r="D214"/>
  <c r="G200"/>
  <c r="G202"/>
  <c r="F202"/>
  <c r="E202"/>
  <c r="D202"/>
  <c r="D200"/>
  <c r="F201"/>
  <c r="E201"/>
  <c r="D201"/>
  <c r="E200"/>
  <c r="F200"/>
  <c r="E162"/>
  <c r="F162"/>
  <c r="G162"/>
  <c r="D162"/>
  <c r="G174"/>
  <c r="F174"/>
  <c r="E174"/>
  <c r="D174"/>
  <c r="G171"/>
  <c r="G170"/>
  <c r="F171"/>
  <c r="F170"/>
  <c r="E171"/>
  <c r="E170"/>
  <c r="D171"/>
  <c r="D170"/>
  <c r="D161"/>
  <c r="G161"/>
  <c r="F161"/>
  <c r="E161"/>
  <c r="C310"/>
  <c r="C303"/>
  <c r="C295"/>
  <c r="G290"/>
  <c r="G288"/>
  <c r="F290"/>
  <c r="F288"/>
  <c r="E290"/>
  <c r="E288"/>
  <c r="D290"/>
  <c r="D288"/>
  <c r="C287"/>
  <c r="G286"/>
  <c r="G282"/>
  <c r="G281"/>
  <c r="F286"/>
  <c r="F282"/>
  <c r="E286"/>
  <c r="E282"/>
  <c r="D286"/>
  <c r="D282"/>
  <c r="D281"/>
  <c r="C280"/>
  <c r="D278"/>
  <c r="D274"/>
  <c r="D267"/>
  <c r="C273"/>
  <c r="C266"/>
  <c r="C259"/>
  <c r="C252"/>
  <c r="G243"/>
  <c r="G236"/>
  <c r="F243"/>
  <c r="F236"/>
  <c r="E243"/>
  <c r="E236"/>
  <c r="D243"/>
  <c r="D236"/>
  <c r="C235"/>
  <c r="C228"/>
  <c r="G227"/>
  <c r="G223"/>
  <c r="G222"/>
  <c r="F227"/>
  <c r="F223"/>
  <c r="F222"/>
  <c r="E227"/>
  <c r="E223"/>
  <c r="E222"/>
  <c r="D227"/>
  <c r="D223"/>
  <c r="D222"/>
  <c r="C221"/>
  <c r="C213"/>
  <c r="F210"/>
  <c r="F208"/>
  <c r="F207"/>
  <c r="E210"/>
  <c r="E208"/>
  <c r="E207"/>
  <c r="D210"/>
  <c r="D208"/>
  <c r="D207"/>
  <c r="C206"/>
  <c r="C199"/>
  <c r="G198"/>
  <c r="G194"/>
  <c r="G193"/>
  <c r="F198"/>
  <c r="F194"/>
  <c r="F193"/>
  <c r="E198"/>
  <c r="E194"/>
  <c r="E193"/>
  <c r="D198"/>
  <c r="D194"/>
  <c r="D193"/>
  <c r="C192"/>
  <c r="G189"/>
  <c r="G185"/>
  <c r="F189"/>
  <c r="F185"/>
  <c r="E189"/>
  <c r="E185"/>
  <c r="D189"/>
  <c r="D185"/>
  <c r="C184"/>
  <c r="G181"/>
  <c r="G179"/>
  <c r="F181"/>
  <c r="E181"/>
  <c r="D181"/>
  <c r="F180"/>
  <c r="E180"/>
  <c r="D180"/>
  <c r="F281"/>
  <c r="E281"/>
  <c r="G178"/>
  <c r="E179"/>
  <c r="E178"/>
  <c r="F179"/>
  <c r="F178"/>
  <c r="D179"/>
  <c r="D178"/>
  <c r="E302" i="1"/>
  <c r="F302"/>
  <c r="G302"/>
  <c r="D302"/>
  <c r="E308"/>
  <c r="E301"/>
  <c r="F308"/>
  <c r="F301"/>
  <c r="G308"/>
  <c r="G301"/>
  <c r="D308"/>
  <c r="D301"/>
  <c r="C307"/>
  <c r="E286"/>
  <c r="F286"/>
  <c r="G286"/>
  <c r="D286"/>
  <c r="E293"/>
  <c r="F293"/>
  <c r="G293"/>
  <c r="D293"/>
  <c r="C292"/>
  <c r="E271"/>
  <c r="F271"/>
  <c r="G271"/>
  <c r="D271"/>
  <c r="E278"/>
  <c r="F278"/>
  <c r="G278"/>
  <c r="D278"/>
  <c r="C277"/>
  <c r="E257"/>
  <c r="F257"/>
  <c r="G257"/>
  <c r="D257"/>
  <c r="E263"/>
  <c r="F263"/>
  <c r="G263"/>
  <c r="D263"/>
  <c r="C262"/>
  <c r="E248"/>
  <c r="F248"/>
  <c r="G248"/>
  <c r="D248"/>
  <c r="E256"/>
  <c r="F270"/>
  <c r="E270"/>
  <c r="D270"/>
  <c r="G270"/>
  <c r="D256"/>
  <c r="G256"/>
  <c r="F256"/>
  <c r="E226"/>
  <c r="F226"/>
  <c r="G226"/>
  <c r="D226"/>
  <c r="E232"/>
  <c r="F232"/>
  <c r="G232"/>
  <c r="D232"/>
  <c r="C231"/>
  <c r="E211"/>
  <c r="F211"/>
  <c r="G211"/>
  <c r="D211"/>
  <c r="E217"/>
  <c r="F217"/>
  <c r="G217"/>
  <c r="D217"/>
  <c r="C216"/>
  <c r="E196"/>
  <c r="F196"/>
  <c r="G196"/>
  <c r="D196"/>
  <c r="E203"/>
  <c r="F203"/>
  <c r="G203"/>
  <c r="D203"/>
  <c r="C202"/>
  <c r="E163"/>
  <c r="F163"/>
  <c r="G163"/>
  <c r="D163"/>
  <c r="E180"/>
  <c r="F180"/>
  <c r="G180"/>
  <c r="D180"/>
  <c r="E187"/>
  <c r="F187"/>
  <c r="G187"/>
  <c r="D187"/>
  <c r="C186"/>
  <c r="C178"/>
  <c r="C170"/>
  <c r="C314"/>
  <c r="C300"/>
  <c r="F285"/>
  <c r="E285"/>
  <c r="D285"/>
  <c r="G285"/>
  <c r="C284"/>
  <c r="C269"/>
  <c r="C255"/>
  <c r="C238"/>
  <c r="C224"/>
  <c r="C209"/>
  <c r="C194"/>
  <c r="G171"/>
  <c r="F171"/>
  <c r="E171"/>
  <c r="D171"/>
  <c r="E225"/>
  <c r="E162"/>
  <c r="D225"/>
  <c r="E195"/>
  <c r="G225"/>
  <c r="F225"/>
  <c r="E179"/>
  <c r="G210"/>
  <c r="F210"/>
  <c r="D195"/>
  <c r="E210"/>
  <c r="F195"/>
  <c r="G195"/>
  <c r="D210"/>
  <c r="D179"/>
  <c r="D162"/>
  <c r="G179"/>
  <c r="G162"/>
  <c r="F179"/>
  <c r="F162"/>
  <c r="E157" i="6"/>
  <c r="F157"/>
  <c r="G157"/>
  <c r="D157"/>
  <c r="E149"/>
  <c r="F149"/>
  <c r="G149"/>
  <c r="G148"/>
  <c r="D149"/>
  <c r="E141"/>
  <c r="F141"/>
  <c r="G141"/>
  <c r="D141"/>
  <c r="E134"/>
  <c r="F134"/>
  <c r="F133"/>
  <c r="G134"/>
  <c r="G133"/>
  <c r="D134"/>
  <c r="D133"/>
  <c r="F124"/>
  <c r="D124"/>
  <c r="E118"/>
  <c r="F118"/>
  <c r="G118"/>
  <c r="D118"/>
  <c r="E111"/>
  <c r="F111"/>
  <c r="G111"/>
  <c r="D111"/>
  <c r="E103"/>
  <c r="F103"/>
  <c r="F102"/>
  <c r="G103"/>
  <c r="D103"/>
  <c r="E95"/>
  <c r="F95"/>
  <c r="G95"/>
  <c r="D95"/>
  <c r="E86"/>
  <c r="F86"/>
  <c r="G86"/>
  <c r="D86"/>
  <c r="G151"/>
  <c r="F151"/>
  <c r="F148"/>
  <c r="E151"/>
  <c r="D151"/>
  <c r="D148"/>
  <c r="G143"/>
  <c r="F143"/>
  <c r="E143"/>
  <c r="D143"/>
  <c r="F120"/>
  <c r="E120"/>
  <c r="F94"/>
  <c r="G94"/>
  <c r="G85"/>
  <c r="G100"/>
  <c r="F100"/>
  <c r="E100"/>
  <c r="D100"/>
  <c r="D94"/>
  <c r="F97"/>
  <c r="E97"/>
  <c r="D97"/>
  <c r="G96"/>
  <c r="F96"/>
  <c r="E96"/>
  <c r="D96"/>
  <c r="C162"/>
  <c r="G156"/>
  <c r="D156"/>
  <c r="F156"/>
  <c r="E156"/>
  <c r="C155"/>
  <c r="E148"/>
  <c r="C147"/>
  <c r="F140"/>
  <c r="E140"/>
  <c r="D140"/>
  <c r="G140"/>
  <c r="C139"/>
  <c r="E133"/>
  <c r="G124"/>
  <c r="E124"/>
  <c r="C123"/>
  <c r="G117"/>
  <c r="F117"/>
  <c r="E117"/>
  <c r="D117"/>
  <c r="C116"/>
  <c r="F110"/>
  <c r="G110"/>
  <c r="E110"/>
  <c r="D110"/>
  <c r="C109"/>
  <c r="G102"/>
  <c r="E102"/>
  <c r="D102"/>
  <c r="C101"/>
  <c r="C93"/>
  <c r="F85"/>
  <c r="E85"/>
  <c r="D85"/>
  <c r="E157" i="2"/>
  <c r="F157"/>
  <c r="G157"/>
  <c r="D157"/>
  <c r="E149"/>
  <c r="F149"/>
  <c r="G149"/>
  <c r="D149"/>
  <c r="E141"/>
  <c r="F141"/>
  <c r="G141"/>
  <c r="D141"/>
  <c r="E134"/>
  <c r="F134"/>
  <c r="G134"/>
  <c r="D134"/>
  <c r="E118"/>
  <c r="F118"/>
  <c r="G118"/>
  <c r="D118"/>
  <c r="E111"/>
  <c r="F111"/>
  <c r="G111"/>
  <c r="D111"/>
  <c r="E103"/>
  <c r="F103"/>
  <c r="G103"/>
  <c r="D103"/>
  <c r="E95"/>
  <c r="F95"/>
  <c r="G95"/>
  <c r="D95"/>
  <c r="E86"/>
  <c r="F86"/>
  <c r="G86"/>
  <c r="D86"/>
  <c r="C139"/>
  <c r="E94" i="6"/>
  <c r="F102" i="2"/>
  <c r="D102"/>
  <c r="C109"/>
  <c r="C162"/>
  <c r="F156"/>
  <c r="E156"/>
  <c r="D156"/>
  <c r="G156"/>
  <c r="C155"/>
  <c r="G148"/>
  <c r="F148"/>
  <c r="E148"/>
  <c r="D148"/>
  <c r="C147"/>
  <c r="G140"/>
  <c r="F140"/>
  <c r="E140"/>
  <c r="D140"/>
  <c r="F133"/>
  <c r="E133"/>
  <c r="D133"/>
  <c r="G133"/>
  <c r="F124"/>
  <c r="E124"/>
  <c r="D124"/>
  <c r="G124"/>
  <c r="C123"/>
  <c r="F117"/>
  <c r="E117"/>
  <c r="D117"/>
  <c r="G117"/>
  <c r="C116"/>
  <c r="G110"/>
  <c r="F110"/>
  <c r="E110"/>
  <c r="D110"/>
  <c r="G102"/>
  <c r="E102"/>
  <c r="C101"/>
  <c r="F94"/>
  <c r="E94"/>
  <c r="D94"/>
  <c r="G94"/>
  <c r="C93"/>
  <c r="G85"/>
  <c r="F85"/>
  <c r="E85"/>
  <c r="D85"/>
  <c r="G78" i="12"/>
  <c r="G77"/>
  <c r="F78"/>
  <c r="E78"/>
  <c r="D78"/>
  <c r="G138"/>
  <c r="F138"/>
  <c r="E138"/>
  <c r="D138"/>
  <c r="G138" i="7"/>
  <c r="F138"/>
  <c r="E138"/>
  <c r="D138"/>
  <c r="G78"/>
  <c r="F78"/>
  <c r="G151" i="12"/>
  <c r="F151"/>
  <c r="E151"/>
  <c r="D151"/>
  <c r="G135"/>
  <c r="F135"/>
  <c r="E135"/>
  <c r="D135"/>
  <c r="G119"/>
  <c r="F119"/>
  <c r="F115"/>
  <c r="E119"/>
  <c r="D119"/>
  <c r="G104"/>
  <c r="F104"/>
  <c r="F100"/>
  <c r="E104"/>
  <c r="D104"/>
  <c r="G90"/>
  <c r="F90"/>
  <c r="F86"/>
  <c r="E90"/>
  <c r="E86"/>
  <c r="D90"/>
  <c r="G75"/>
  <c r="F75"/>
  <c r="F71"/>
  <c r="E75"/>
  <c r="E71"/>
  <c r="D75"/>
  <c r="G61"/>
  <c r="G57"/>
  <c r="F61"/>
  <c r="E61"/>
  <c r="D61"/>
  <c r="G46"/>
  <c r="F46"/>
  <c r="F42"/>
  <c r="F41"/>
  <c r="E46"/>
  <c r="E42"/>
  <c r="D46"/>
  <c r="G31"/>
  <c r="F31"/>
  <c r="E31"/>
  <c r="D31"/>
  <c r="G15"/>
  <c r="F15"/>
  <c r="E15"/>
  <c r="D15"/>
  <c r="C160"/>
  <c r="G157"/>
  <c r="F157"/>
  <c r="E157"/>
  <c r="D157"/>
  <c r="G155"/>
  <c r="G153"/>
  <c r="F155"/>
  <c r="E155"/>
  <c r="D155"/>
  <c r="F154"/>
  <c r="D154"/>
  <c r="D153"/>
  <c r="E153"/>
  <c r="C152"/>
  <c r="G148"/>
  <c r="G146"/>
  <c r="F148"/>
  <c r="E148"/>
  <c r="D148"/>
  <c r="C144"/>
  <c r="F141"/>
  <c r="E141"/>
  <c r="D141"/>
  <c r="G139"/>
  <c r="F139"/>
  <c r="E139"/>
  <c r="E137"/>
  <c r="D139"/>
  <c r="G137"/>
  <c r="D137"/>
  <c r="C136"/>
  <c r="F132"/>
  <c r="E132"/>
  <c r="D132"/>
  <c r="G130"/>
  <c r="F130"/>
  <c r="C128"/>
  <c r="D126"/>
  <c r="F125"/>
  <c r="E125"/>
  <c r="D125"/>
  <c r="G124"/>
  <c r="F124"/>
  <c r="E124"/>
  <c r="D124"/>
  <c r="F123"/>
  <c r="E123"/>
  <c r="D123"/>
  <c r="G122"/>
  <c r="F122"/>
  <c r="F121"/>
  <c r="E122"/>
  <c r="D122"/>
  <c r="C120"/>
  <c r="F116"/>
  <c r="E116"/>
  <c r="D116"/>
  <c r="D115"/>
  <c r="G115"/>
  <c r="C113"/>
  <c r="D111"/>
  <c r="F110"/>
  <c r="E110"/>
  <c r="G108"/>
  <c r="G106"/>
  <c r="F108"/>
  <c r="E108"/>
  <c r="D108"/>
  <c r="F107"/>
  <c r="E107"/>
  <c r="D107"/>
  <c r="C105"/>
  <c r="F102"/>
  <c r="E102"/>
  <c r="D102"/>
  <c r="G100"/>
  <c r="C98"/>
  <c r="G94"/>
  <c r="F94"/>
  <c r="E94"/>
  <c r="D94"/>
  <c r="G93"/>
  <c r="F93"/>
  <c r="E93"/>
  <c r="E92"/>
  <c r="D93"/>
  <c r="G92"/>
  <c r="F92"/>
  <c r="C91"/>
  <c r="G86"/>
  <c r="D86"/>
  <c r="C84"/>
  <c r="G81"/>
  <c r="F81"/>
  <c r="E81"/>
  <c r="D81"/>
  <c r="G79"/>
  <c r="F79"/>
  <c r="E79"/>
  <c r="D79"/>
  <c r="D77"/>
  <c r="C76"/>
  <c r="G71"/>
  <c r="G70"/>
  <c r="D71"/>
  <c r="C69"/>
  <c r="F65"/>
  <c r="E65"/>
  <c r="D65"/>
  <c r="G64"/>
  <c r="F64"/>
  <c r="E64"/>
  <c r="D64"/>
  <c r="G63"/>
  <c r="F63"/>
  <c r="E63"/>
  <c r="D63"/>
  <c r="C62"/>
  <c r="F59"/>
  <c r="E59"/>
  <c r="D59"/>
  <c r="D57"/>
  <c r="C55"/>
  <c r="F52"/>
  <c r="E52"/>
  <c r="D52"/>
  <c r="G51"/>
  <c r="F51"/>
  <c r="E51"/>
  <c r="D51"/>
  <c r="G50"/>
  <c r="F50"/>
  <c r="E50"/>
  <c r="D50"/>
  <c r="G49"/>
  <c r="F49"/>
  <c r="E49"/>
  <c r="D49"/>
  <c r="G48"/>
  <c r="F48"/>
  <c r="E48"/>
  <c r="D48"/>
  <c r="C47"/>
  <c r="G42"/>
  <c r="D42"/>
  <c r="D41"/>
  <c r="C40"/>
  <c r="G37"/>
  <c r="F37"/>
  <c r="E37"/>
  <c r="D37"/>
  <c r="G35"/>
  <c r="F35"/>
  <c r="E35"/>
  <c r="D35"/>
  <c r="G34"/>
  <c r="F34"/>
  <c r="E34"/>
  <c r="D34"/>
  <c r="G33"/>
  <c r="F33"/>
  <c r="E33"/>
  <c r="C32"/>
  <c r="G29"/>
  <c r="G27"/>
  <c r="F29"/>
  <c r="E29"/>
  <c r="D29"/>
  <c r="F28"/>
  <c r="E28"/>
  <c r="D28"/>
  <c r="C25"/>
  <c r="G24"/>
  <c r="F24"/>
  <c r="E24"/>
  <c r="D24"/>
  <c r="G21"/>
  <c r="F21"/>
  <c r="F19"/>
  <c r="E21"/>
  <c r="D21"/>
  <c r="D19"/>
  <c r="F20"/>
  <c r="E20"/>
  <c r="E19"/>
  <c r="D20"/>
  <c r="G19"/>
  <c r="C18"/>
  <c r="G12"/>
  <c r="F12"/>
  <c r="E12"/>
  <c r="D12"/>
  <c r="G93" i="7"/>
  <c r="F93"/>
  <c r="E93"/>
  <c r="D93"/>
  <c r="F154"/>
  <c r="D154"/>
  <c r="D78"/>
  <c r="E78"/>
  <c r="G64"/>
  <c r="F64"/>
  <c r="E64"/>
  <c r="D64"/>
  <c r="D56" i="12"/>
  <c r="G26"/>
  <c r="D92"/>
  <c r="D85"/>
  <c r="D33"/>
  <c r="F57"/>
  <c r="F56"/>
  <c r="D70"/>
  <c r="F27"/>
  <c r="F26"/>
  <c r="F146"/>
  <c r="E8"/>
  <c r="E115"/>
  <c r="F77"/>
  <c r="F70"/>
  <c r="G8"/>
  <c r="D27"/>
  <c r="E77"/>
  <c r="E70"/>
  <c r="E27"/>
  <c r="E26"/>
  <c r="G85"/>
  <c r="E106"/>
  <c r="E41"/>
  <c r="E85"/>
  <c r="F137"/>
  <c r="F8"/>
  <c r="G41"/>
  <c r="D106"/>
  <c r="F114"/>
  <c r="G121"/>
  <c r="D130"/>
  <c r="D129"/>
  <c r="E146"/>
  <c r="E145"/>
  <c r="D8"/>
  <c r="F85"/>
  <c r="E121"/>
  <c r="F153"/>
  <c r="F145"/>
  <c r="E100"/>
  <c r="E99"/>
  <c r="F106"/>
  <c r="F99"/>
  <c r="E130"/>
  <c r="E129"/>
  <c r="G145"/>
  <c r="F129"/>
  <c r="G99"/>
  <c r="G114"/>
  <c r="G56"/>
  <c r="D146"/>
  <c r="D145"/>
  <c r="D121"/>
  <c r="G129"/>
  <c r="D100"/>
  <c r="E57"/>
  <c r="E56"/>
  <c r="D26"/>
  <c r="E114"/>
  <c r="D114"/>
  <c r="D99"/>
  <c r="G11" i="9"/>
  <c r="F11"/>
  <c r="E11"/>
  <c r="D11"/>
  <c r="G116"/>
  <c r="F116"/>
  <c r="E116"/>
  <c r="D116"/>
  <c r="G116" i="8"/>
  <c r="F116"/>
  <c r="E116"/>
  <c r="D116"/>
  <c r="G11"/>
  <c r="F11"/>
  <c r="E11"/>
  <c r="D11"/>
  <c r="G99"/>
  <c r="F111"/>
  <c r="E111"/>
  <c r="D111"/>
  <c r="C75"/>
  <c r="G154" i="9"/>
  <c r="F154"/>
  <c r="E154"/>
  <c r="D154"/>
  <c r="G138"/>
  <c r="F138"/>
  <c r="E138"/>
  <c r="D138"/>
  <c r="D138" i="8"/>
  <c r="E138"/>
  <c r="F138"/>
  <c r="G122" i="9"/>
  <c r="F122"/>
  <c r="E122"/>
  <c r="D122"/>
  <c r="G107"/>
  <c r="G105"/>
  <c r="F107"/>
  <c r="E107"/>
  <c r="D107"/>
  <c r="G93"/>
  <c r="F93"/>
  <c r="E93"/>
  <c r="D93"/>
  <c r="E64"/>
  <c r="F64"/>
  <c r="D64"/>
  <c r="G48"/>
  <c r="F48"/>
  <c r="E48"/>
  <c r="D48"/>
  <c r="G33"/>
  <c r="F33"/>
  <c r="E33"/>
  <c r="D33"/>
  <c r="G78"/>
  <c r="F78"/>
  <c r="E78"/>
  <c r="D78"/>
  <c r="G19"/>
  <c r="F19"/>
  <c r="E19"/>
  <c r="D19"/>
  <c r="E107" i="8"/>
  <c r="D107"/>
  <c r="F107"/>
  <c r="F122"/>
  <c r="E122"/>
  <c r="D122"/>
  <c r="F93"/>
  <c r="E93"/>
  <c r="D93"/>
  <c r="E64"/>
  <c r="F64"/>
  <c r="D64"/>
  <c r="G48"/>
  <c r="F48"/>
  <c r="E48"/>
  <c r="D48"/>
  <c r="F33"/>
  <c r="E33"/>
  <c r="D33"/>
  <c r="E154"/>
  <c r="G154"/>
  <c r="G152"/>
  <c r="F154"/>
  <c r="D154"/>
  <c r="F78"/>
  <c r="E78"/>
  <c r="E19"/>
  <c r="F19"/>
  <c r="P160" i="9"/>
  <c r="P159"/>
  <c r="C159"/>
  <c r="P158"/>
  <c r="P157"/>
  <c r="G156"/>
  <c r="F156"/>
  <c r="E156"/>
  <c r="D156"/>
  <c r="P155"/>
  <c r="G153"/>
  <c r="F153"/>
  <c r="E153"/>
  <c r="D153"/>
  <c r="O152"/>
  <c r="N152"/>
  <c r="N144"/>
  <c r="M152"/>
  <c r="L152"/>
  <c r="K152"/>
  <c r="J152"/>
  <c r="J144"/>
  <c r="I152"/>
  <c r="H152"/>
  <c r="D152"/>
  <c r="P151"/>
  <c r="C151"/>
  <c r="G150"/>
  <c r="F150"/>
  <c r="E150"/>
  <c r="D150"/>
  <c r="P149"/>
  <c r="P148"/>
  <c r="G147"/>
  <c r="G145"/>
  <c r="F147"/>
  <c r="E147"/>
  <c r="E145"/>
  <c r="D147"/>
  <c r="P146"/>
  <c r="O145"/>
  <c r="N145"/>
  <c r="M145"/>
  <c r="L145"/>
  <c r="K145"/>
  <c r="J145"/>
  <c r="I145"/>
  <c r="H145"/>
  <c r="F145"/>
  <c r="D145"/>
  <c r="O144"/>
  <c r="M144"/>
  <c r="L144"/>
  <c r="K144"/>
  <c r="I144"/>
  <c r="H144"/>
  <c r="P143"/>
  <c r="C143"/>
  <c r="P142"/>
  <c r="P141"/>
  <c r="F140"/>
  <c r="E140"/>
  <c r="D140"/>
  <c r="P140"/>
  <c r="P139"/>
  <c r="P138"/>
  <c r="G137"/>
  <c r="F137"/>
  <c r="E137"/>
  <c r="D137"/>
  <c r="O136"/>
  <c r="N136"/>
  <c r="M136"/>
  <c r="L136"/>
  <c r="K136"/>
  <c r="J136"/>
  <c r="I136"/>
  <c r="H136"/>
  <c r="G136"/>
  <c r="F136"/>
  <c r="E136"/>
  <c r="P135"/>
  <c r="C135"/>
  <c r="G134"/>
  <c r="F134"/>
  <c r="E134"/>
  <c r="D134"/>
  <c r="D129"/>
  <c r="P133"/>
  <c r="P132"/>
  <c r="F131"/>
  <c r="E131"/>
  <c r="E129"/>
  <c r="E128"/>
  <c r="D131"/>
  <c r="P130"/>
  <c r="O129"/>
  <c r="N129"/>
  <c r="M129"/>
  <c r="L129"/>
  <c r="K129"/>
  <c r="J129"/>
  <c r="I129"/>
  <c r="H129"/>
  <c r="G129"/>
  <c r="F129"/>
  <c r="O128"/>
  <c r="N128"/>
  <c r="M128"/>
  <c r="L128"/>
  <c r="K128"/>
  <c r="J128"/>
  <c r="I128"/>
  <c r="H128"/>
  <c r="G128"/>
  <c r="F128"/>
  <c r="P127"/>
  <c r="C127"/>
  <c r="P126"/>
  <c r="D125"/>
  <c r="P125"/>
  <c r="F124"/>
  <c r="E124"/>
  <c r="D124"/>
  <c r="G123"/>
  <c r="F123"/>
  <c r="E123"/>
  <c r="D123"/>
  <c r="G121"/>
  <c r="F121"/>
  <c r="E121"/>
  <c r="D121"/>
  <c r="O120"/>
  <c r="O113"/>
  <c r="N120"/>
  <c r="M120"/>
  <c r="M113"/>
  <c r="L120"/>
  <c r="K120"/>
  <c r="K113"/>
  <c r="J120"/>
  <c r="I120"/>
  <c r="I113"/>
  <c r="H120"/>
  <c r="D120"/>
  <c r="P119"/>
  <c r="C119"/>
  <c r="P118"/>
  <c r="P117"/>
  <c r="P116"/>
  <c r="F115"/>
  <c r="E115"/>
  <c r="D115"/>
  <c r="O114"/>
  <c r="N114"/>
  <c r="M114"/>
  <c r="L114"/>
  <c r="K114"/>
  <c r="J114"/>
  <c r="I114"/>
  <c r="H114"/>
  <c r="G114"/>
  <c r="F114"/>
  <c r="E114"/>
  <c r="D114"/>
  <c r="N113"/>
  <c r="L113"/>
  <c r="J113"/>
  <c r="H113"/>
  <c r="P112"/>
  <c r="C112"/>
  <c r="P111"/>
  <c r="D110"/>
  <c r="F109"/>
  <c r="E109"/>
  <c r="P109"/>
  <c r="P108"/>
  <c r="F106"/>
  <c r="E106"/>
  <c r="D106"/>
  <c r="J105"/>
  <c r="P104"/>
  <c r="C104"/>
  <c r="G103"/>
  <c r="G99"/>
  <c r="F103"/>
  <c r="E103"/>
  <c r="D103"/>
  <c r="P102"/>
  <c r="F101"/>
  <c r="E101"/>
  <c r="E99"/>
  <c r="D101"/>
  <c r="P100"/>
  <c r="O99"/>
  <c r="N99"/>
  <c r="M99"/>
  <c r="L99"/>
  <c r="K99"/>
  <c r="J99"/>
  <c r="I99"/>
  <c r="H99"/>
  <c r="F99"/>
  <c r="D99"/>
  <c r="O98"/>
  <c r="N98"/>
  <c r="M98"/>
  <c r="L98"/>
  <c r="K98"/>
  <c r="J98"/>
  <c r="I98"/>
  <c r="H98"/>
  <c r="P97"/>
  <c r="C97"/>
  <c r="P96"/>
  <c r="P95"/>
  <c r="G94"/>
  <c r="F94"/>
  <c r="E94"/>
  <c r="D94"/>
  <c r="P94"/>
  <c r="F92"/>
  <c r="D92"/>
  <c r="P92"/>
  <c r="O91"/>
  <c r="N91"/>
  <c r="M91"/>
  <c r="L91"/>
  <c r="K91"/>
  <c r="J91"/>
  <c r="I91"/>
  <c r="H91"/>
  <c r="G91"/>
  <c r="F91"/>
  <c r="E91"/>
  <c r="P90"/>
  <c r="C90"/>
  <c r="G89"/>
  <c r="G85"/>
  <c r="F89"/>
  <c r="E89"/>
  <c r="E85"/>
  <c r="D89"/>
  <c r="P88"/>
  <c r="P87"/>
  <c r="P86"/>
  <c r="O85"/>
  <c r="N85"/>
  <c r="M85"/>
  <c r="L85"/>
  <c r="K85"/>
  <c r="J85"/>
  <c r="I85"/>
  <c r="H85"/>
  <c r="F85"/>
  <c r="D85"/>
  <c r="O84"/>
  <c r="N84"/>
  <c r="M84"/>
  <c r="L84"/>
  <c r="K84"/>
  <c r="J84"/>
  <c r="I84"/>
  <c r="H84"/>
  <c r="F84"/>
  <c r="P83"/>
  <c r="C83"/>
  <c r="P82"/>
  <c r="P81"/>
  <c r="G80"/>
  <c r="F80"/>
  <c r="E80"/>
  <c r="D80"/>
  <c r="D76"/>
  <c r="P76"/>
  <c r="P79"/>
  <c r="P78"/>
  <c r="G77"/>
  <c r="F77"/>
  <c r="E77"/>
  <c r="D77"/>
  <c r="O76"/>
  <c r="N76"/>
  <c r="N69"/>
  <c r="M76"/>
  <c r="L76"/>
  <c r="L69"/>
  <c r="K76"/>
  <c r="J76"/>
  <c r="J69"/>
  <c r="I76"/>
  <c r="H76"/>
  <c r="H69"/>
  <c r="G76"/>
  <c r="F76"/>
  <c r="E76"/>
  <c r="P75"/>
  <c r="C75"/>
  <c r="G74"/>
  <c r="F74"/>
  <c r="F70"/>
  <c r="F69"/>
  <c r="E74"/>
  <c r="D74"/>
  <c r="D70"/>
  <c r="P73"/>
  <c r="P72"/>
  <c r="P71"/>
  <c r="O70"/>
  <c r="N70"/>
  <c r="M70"/>
  <c r="L70"/>
  <c r="K70"/>
  <c r="J70"/>
  <c r="I70"/>
  <c r="H70"/>
  <c r="G70"/>
  <c r="E70"/>
  <c r="O69"/>
  <c r="M69"/>
  <c r="K69"/>
  <c r="I69"/>
  <c r="G69"/>
  <c r="E69"/>
  <c r="P68"/>
  <c r="C68"/>
  <c r="P67"/>
  <c r="P66"/>
  <c r="P65"/>
  <c r="G63"/>
  <c r="G62"/>
  <c r="F63"/>
  <c r="E63"/>
  <c r="D63"/>
  <c r="P63"/>
  <c r="O62"/>
  <c r="N62"/>
  <c r="N55"/>
  <c r="M62"/>
  <c r="L62"/>
  <c r="L55"/>
  <c r="K62"/>
  <c r="J62"/>
  <c r="J55"/>
  <c r="I62"/>
  <c r="H62"/>
  <c r="H55"/>
  <c r="P61"/>
  <c r="C61"/>
  <c r="P60"/>
  <c r="P59"/>
  <c r="F58"/>
  <c r="F56"/>
  <c r="E58"/>
  <c r="D58"/>
  <c r="P58"/>
  <c r="P57"/>
  <c r="O56"/>
  <c r="N56"/>
  <c r="M56"/>
  <c r="L56"/>
  <c r="K56"/>
  <c r="J56"/>
  <c r="I56"/>
  <c r="I55"/>
  <c r="H56"/>
  <c r="G56"/>
  <c r="E56"/>
  <c r="O55"/>
  <c r="M55"/>
  <c r="K55"/>
  <c r="P54"/>
  <c r="P53"/>
  <c r="C53"/>
  <c r="P52"/>
  <c r="P51"/>
  <c r="F50"/>
  <c r="E50"/>
  <c r="D50"/>
  <c r="G49"/>
  <c r="G46"/>
  <c r="F49"/>
  <c r="E49"/>
  <c r="E46"/>
  <c r="E39"/>
  <c r="D49"/>
  <c r="P48"/>
  <c r="G47"/>
  <c r="F47"/>
  <c r="E47"/>
  <c r="D47"/>
  <c r="O46"/>
  <c r="N46"/>
  <c r="N39"/>
  <c r="M46"/>
  <c r="L46"/>
  <c r="L39"/>
  <c r="K46"/>
  <c r="J46"/>
  <c r="J39"/>
  <c r="I46"/>
  <c r="H46"/>
  <c r="H39"/>
  <c r="F46"/>
  <c r="D46"/>
  <c r="P45"/>
  <c r="C45"/>
  <c r="G44"/>
  <c r="F44"/>
  <c r="F40"/>
  <c r="E44"/>
  <c r="D44"/>
  <c r="D40"/>
  <c r="P43"/>
  <c r="P42"/>
  <c r="P41"/>
  <c r="O40"/>
  <c r="N40"/>
  <c r="M40"/>
  <c r="L40"/>
  <c r="K40"/>
  <c r="J40"/>
  <c r="I40"/>
  <c r="H40"/>
  <c r="G40"/>
  <c r="E40"/>
  <c r="O39"/>
  <c r="M39"/>
  <c r="K39"/>
  <c r="I39"/>
  <c r="P38"/>
  <c r="C38"/>
  <c r="P37"/>
  <c r="P36"/>
  <c r="G35"/>
  <c r="F35"/>
  <c r="E35"/>
  <c r="D35"/>
  <c r="P35"/>
  <c r="P34"/>
  <c r="G32"/>
  <c r="F32"/>
  <c r="E32"/>
  <c r="E31"/>
  <c r="D32"/>
  <c r="O31"/>
  <c r="O24"/>
  <c r="N31"/>
  <c r="M31"/>
  <c r="M24"/>
  <c r="L31"/>
  <c r="K31"/>
  <c r="K24"/>
  <c r="J31"/>
  <c r="I31"/>
  <c r="I24"/>
  <c r="H31"/>
  <c r="P30"/>
  <c r="C30"/>
  <c r="P29"/>
  <c r="P28"/>
  <c r="G27"/>
  <c r="G25"/>
  <c r="F27"/>
  <c r="E27"/>
  <c r="E25"/>
  <c r="D27"/>
  <c r="F26"/>
  <c r="E26"/>
  <c r="D26"/>
  <c r="O25"/>
  <c r="N25"/>
  <c r="M25"/>
  <c r="L25"/>
  <c r="K25"/>
  <c r="J25"/>
  <c r="I25"/>
  <c r="H25"/>
  <c r="F25"/>
  <c r="D25"/>
  <c r="N24"/>
  <c r="L24"/>
  <c r="J24"/>
  <c r="H24"/>
  <c r="P23"/>
  <c r="C23"/>
  <c r="G22"/>
  <c r="G17"/>
  <c r="F22"/>
  <c r="E22"/>
  <c r="D22"/>
  <c r="D17"/>
  <c r="P21"/>
  <c r="P20"/>
  <c r="F18"/>
  <c r="E18"/>
  <c r="E17"/>
  <c r="D18"/>
  <c r="O17"/>
  <c r="O6"/>
  <c r="N17"/>
  <c r="M17"/>
  <c r="M6"/>
  <c r="L17"/>
  <c r="K17"/>
  <c r="K6"/>
  <c r="J17"/>
  <c r="I17"/>
  <c r="I6"/>
  <c r="H17"/>
  <c r="P16"/>
  <c r="C16"/>
  <c r="P15"/>
  <c r="P14"/>
  <c r="P13"/>
  <c r="P12"/>
  <c r="P11"/>
  <c r="G10"/>
  <c r="F10"/>
  <c r="F7"/>
  <c r="E10"/>
  <c r="D10"/>
  <c r="P9"/>
  <c r="P8"/>
  <c r="O7"/>
  <c r="N7"/>
  <c r="M7"/>
  <c r="L7"/>
  <c r="K7"/>
  <c r="J7"/>
  <c r="J6"/>
  <c r="I7"/>
  <c r="H7"/>
  <c r="H6"/>
  <c r="G7"/>
  <c r="E7"/>
  <c r="D7"/>
  <c r="N6"/>
  <c r="L6"/>
  <c r="P129"/>
  <c r="D69"/>
  <c r="P69"/>
  <c r="Q85"/>
  <c r="R85"/>
  <c r="G84"/>
  <c r="D31"/>
  <c r="P47"/>
  <c r="P77"/>
  <c r="P85"/>
  <c r="P115"/>
  <c r="D136"/>
  <c r="P136"/>
  <c r="P137"/>
  <c r="P153"/>
  <c r="P99"/>
  <c r="P25"/>
  <c r="P26"/>
  <c r="P46"/>
  <c r="P18"/>
  <c r="D56"/>
  <c r="D62"/>
  <c r="D55"/>
  <c r="P55"/>
  <c r="G55"/>
  <c r="P150"/>
  <c r="P156"/>
  <c r="P22"/>
  <c r="P44"/>
  <c r="F39"/>
  <c r="P74"/>
  <c r="P80"/>
  <c r="P106"/>
  <c r="P121"/>
  <c r="P123"/>
  <c r="P124"/>
  <c r="P131"/>
  <c r="G31"/>
  <c r="G24"/>
  <c r="G98"/>
  <c r="G120"/>
  <c r="G113"/>
  <c r="P27"/>
  <c r="P40"/>
  <c r="G39"/>
  <c r="P70"/>
  <c r="P89"/>
  <c r="P101"/>
  <c r="P103"/>
  <c r="P134"/>
  <c r="P145"/>
  <c r="E152"/>
  <c r="E144"/>
  <c r="P10"/>
  <c r="E24"/>
  <c r="P147"/>
  <c r="F17"/>
  <c r="F6"/>
  <c r="F62"/>
  <c r="F55"/>
  <c r="E105"/>
  <c r="E98"/>
  <c r="E120"/>
  <c r="F152"/>
  <c r="F144"/>
  <c r="P32"/>
  <c r="P49"/>
  <c r="P50"/>
  <c r="P56"/>
  <c r="E84"/>
  <c r="F31"/>
  <c r="F24"/>
  <c r="E62"/>
  <c r="E55"/>
  <c r="F105"/>
  <c r="F98"/>
  <c r="P122"/>
  <c r="G152"/>
  <c r="G144"/>
  <c r="E6"/>
  <c r="G6"/>
  <c r="E113"/>
  <c r="P114"/>
  <c r="P154"/>
  <c r="D144"/>
  <c r="F120"/>
  <c r="F113"/>
  <c r="D113"/>
  <c r="P107"/>
  <c r="D105"/>
  <c r="P93"/>
  <c r="D91"/>
  <c r="D84"/>
  <c r="P64"/>
  <c r="P62"/>
  <c r="D39"/>
  <c r="P39"/>
  <c r="P33"/>
  <c r="P31"/>
  <c r="D24"/>
  <c r="P24"/>
  <c r="P17"/>
  <c r="P19"/>
  <c r="D6"/>
  <c r="F131" i="8"/>
  <c r="F129"/>
  <c r="F128"/>
  <c r="E131"/>
  <c r="D131"/>
  <c r="F115"/>
  <c r="F114"/>
  <c r="E115"/>
  <c r="D115"/>
  <c r="D114"/>
  <c r="F105"/>
  <c r="E105"/>
  <c r="F101"/>
  <c r="F99"/>
  <c r="E101"/>
  <c r="E99"/>
  <c r="D101"/>
  <c r="F58"/>
  <c r="E58"/>
  <c r="P58"/>
  <c r="D58"/>
  <c r="G27"/>
  <c r="G25"/>
  <c r="F27"/>
  <c r="E27"/>
  <c r="P27"/>
  <c r="D27"/>
  <c r="F26"/>
  <c r="E26"/>
  <c r="D26"/>
  <c r="P159"/>
  <c r="C159"/>
  <c r="P158"/>
  <c r="P157"/>
  <c r="P156"/>
  <c r="P155"/>
  <c r="P154"/>
  <c r="P153"/>
  <c r="O152"/>
  <c r="N152"/>
  <c r="M152"/>
  <c r="L152"/>
  <c r="L144"/>
  <c r="K152"/>
  <c r="J152"/>
  <c r="I152"/>
  <c r="I144"/>
  <c r="H152"/>
  <c r="H144"/>
  <c r="F152"/>
  <c r="E152"/>
  <c r="D152"/>
  <c r="P151"/>
  <c r="C151"/>
  <c r="P150"/>
  <c r="P149"/>
  <c r="P148"/>
  <c r="P147"/>
  <c r="P146"/>
  <c r="O145"/>
  <c r="N145"/>
  <c r="M145"/>
  <c r="L145"/>
  <c r="K145"/>
  <c r="K144"/>
  <c r="J145"/>
  <c r="I145"/>
  <c r="H145"/>
  <c r="G145"/>
  <c r="F145"/>
  <c r="E145"/>
  <c r="D145"/>
  <c r="O144"/>
  <c r="M144"/>
  <c r="P143"/>
  <c r="C143"/>
  <c r="P142"/>
  <c r="P141"/>
  <c r="P140"/>
  <c r="P139"/>
  <c r="P138"/>
  <c r="P137"/>
  <c r="O136"/>
  <c r="N136"/>
  <c r="M136"/>
  <c r="L136"/>
  <c r="K136"/>
  <c r="J136"/>
  <c r="I136"/>
  <c r="H136"/>
  <c r="G136"/>
  <c r="F136"/>
  <c r="E136"/>
  <c r="D136"/>
  <c r="P135"/>
  <c r="C135"/>
  <c r="P134"/>
  <c r="P133"/>
  <c r="P132"/>
  <c r="P130"/>
  <c r="O129"/>
  <c r="N129"/>
  <c r="N128"/>
  <c r="M129"/>
  <c r="M128"/>
  <c r="L129"/>
  <c r="K129"/>
  <c r="J129"/>
  <c r="J128"/>
  <c r="I129"/>
  <c r="H129"/>
  <c r="G129"/>
  <c r="E129"/>
  <c r="E128"/>
  <c r="I128"/>
  <c r="P127"/>
  <c r="C127"/>
  <c r="P126"/>
  <c r="P125"/>
  <c r="P124"/>
  <c r="P123"/>
  <c r="P122"/>
  <c r="E120"/>
  <c r="P121"/>
  <c r="O120"/>
  <c r="N120"/>
  <c r="M120"/>
  <c r="L120"/>
  <c r="K120"/>
  <c r="J120"/>
  <c r="I120"/>
  <c r="H120"/>
  <c r="G120"/>
  <c r="F120"/>
  <c r="D120"/>
  <c r="P119"/>
  <c r="C119"/>
  <c r="P118"/>
  <c r="P117"/>
  <c r="P116"/>
  <c r="O114"/>
  <c r="O113"/>
  <c r="N114"/>
  <c r="N113"/>
  <c r="M114"/>
  <c r="M113"/>
  <c r="L114"/>
  <c r="K114"/>
  <c r="K113"/>
  <c r="J114"/>
  <c r="J113"/>
  <c r="I114"/>
  <c r="I113"/>
  <c r="H114"/>
  <c r="H113"/>
  <c r="G114"/>
  <c r="G113"/>
  <c r="E114"/>
  <c r="L113"/>
  <c r="P112"/>
  <c r="C112"/>
  <c r="P110"/>
  <c r="P109"/>
  <c r="P108"/>
  <c r="P107"/>
  <c r="P106"/>
  <c r="J105"/>
  <c r="G105"/>
  <c r="D105"/>
  <c r="P104"/>
  <c r="C104"/>
  <c r="P103"/>
  <c r="P102"/>
  <c r="P100"/>
  <c r="O99"/>
  <c r="N99"/>
  <c r="N98"/>
  <c r="M99"/>
  <c r="M98"/>
  <c r="L99"/>
  <c r="L98"/>
  <c r="K99"/>
  <c r="K98"/>
  <c r="J99"/>
  <c r="I99"/>
  <c r="H99"/>
  <c r="H98"/>
  <c r="O98"/>
  <c r="I98"/>
  <c r="P97"/>
  <c r="C97"/>
  <c r="P96"/>
  <c r="P95"/>
  <c r="P94"/>
  <c r="P93"/>
  <c r="P92"/>
  <c r="O91"/>
  <c r="N91"/>
  <c r="M91"/>
  <c r="L91"/>
  <c r="K91"/>
  <c r="J91"/>
  <c r="I91"/>
  <c r="H91"/>
  <c r="G91"/>
  <c r="F91"/>
  <c r="E91"/>
  <c r="D91"/>
  <c r="P90"/>
  <c r="C90"/>
  <c r="P89"/>
  <c r="P88"/>
  <c r="P87"/>
  <c r="P86"/>
  <c r="O85"/>
  <c r="N85"/>
  <c r="N84"/>
  <c r="M85"/>
  <c r="M84"/>
  <c r="L85"/>
  <c r="K85"/>
  <c r="J85"/>
  <c r="J84"/>
  <c r="I85"/>
  <c r="I84"/>
  <c r="H85"/>
  <c r="G85"/>
  <c r="Q85"/>
  <c r="R85"/>
  <c r="F85"/>
  <c r="F84"/>
  <c r="E85"/>
  <c r="E84"/>
  <c r="D85"/>
  <c r="P83"/>
  <c r="C83"/>
  <c r="P82"/>
  <c r="P81"/>
  <c r="P80"/>
  <c r="P79"/>
  <c r="P78"/>
  <c r="P77"/>
  <c r="O76"/>
  <c r="N76"/>
  <c r="M76"/>
  <c r="L76"/>
  <c r="K76"/>
  <c r="J76"/>
  <c r="I76"/>
  <c r="H76"/>
  <c r="G76"/>
  <c r="F76"/>
  <c r="E76"/>
  <c r="D76"/>
  <c r="P75"/>
  <c r="P74"/>
  <c r="P73"/>
  <c r="P72"/>
  <c r="P71"/>
  <c r="O70"/>
  <c r="O69"/>
  <c r="N70"/>
  <c r="M70"/>
  <c r="M69"/>
  <c r="L70"/>
  <c r="L69"/>
  <c r="K70"/>
  <c r="K69"/>
  <c r="J70"/>
  <c r="I70"/>
  <c r="I69"/>
  <c r="H70"/>
  <c r="H69"/>
  <c r="G70"/>
  <c r="G69"/>
  <c r="F70"/>
  <c r="E70"/>
  <c r="D70"/>
  <c r="N69"/>
  <c r="P68"/>
  <c r="C68"/>
  <c r="P67"/>
  <c r="P66"/>
  <c r="P65"/>
  <c r="P64"/>
  <c r="P63"/>
  <c r="O62"/>
  <c r="N62"/>
  <c r="M62"/>
  <c r="L62"/>
  <c r="K62"/>
  <c r="J62"/>
  <c r="I62"/>
  <c r="H62"/>
  <c r="H55"/>
  <c r="G62"/>
  <c r="F62"/>
  <c r="E62"/>
  <c r="D62"/>
  <c r="P61"/>
  <c r="C61"/>
  <c r="P60"/>
  <c r="P59"/>
  <c r="P57"/>
  <c r="O56"/>
  <c r="N56"/>
  <c r="M56"/>
  <c r="L56"/>
  <c r="K56"/>
  <c r="J56"/>
  <c r="J55"/>
  <c r="I56"/>
  <c r="H56"/>
  <c r="G56"/>
  <c r="F56"/>
  <c r="D56"/>
  <c r="P54"/>
  <c r="P53"/>
  <c r="C53"/>
  <c r="P52"/>
  <c r="P51"/>
  <c r="P50"/>
  <c r="P49"/>
  <c r="P48"/>
  <c r="P47"/>
  <c r="O46"/>
  <c r="N46"/>
  <c r="M46"/>
  <c r="L46"/>
  <c r="K46"/>
  <c r="J46"/>
  <c r="I46"/>
  <c r="H46"/>
  <c r="G46"/>
  <c r="F46"/>
  <c r="E46"/>
  <c r="D46"/>
  <c r="P45"/>
  <c r="C45"/>
  <c r="P44"/>
  <c r="P43"/>
  <c r="P42"/>
  <c r="P41"/>
  <c r="O40"/>
  <c r="N40"/>
  <c r="M40"/>
  <c r="L40"/>
  <c r="K40"/>
  <c r="J40"/>
  <c r="J39"/>
  <c r="I40"/>
  <c r="H40"/>
  <c r="G40"/>
  <c r="F40"/>
  <c r="E40"/>
  <c r="D40"/>
  <c r="H39"/>
  <c r="P38"/>
  <c r="C38"/>
  <c r="P37"/>
  <c r="P36"/>
  <c r="P35"/>
  <c r="P34"/>
  <c r="P33"/>
  <c r="P32"/>
  <c r="O31"/>
  <c r="N31"/>
  <c r="M31"/>
  <c r="L31"/>
  <c r="K31"/>
  <c r="J31"/>
  <c r="I31"/>
  <c r="H31"/>
  <c r="G31"/>
  <c r="F31"/>
  <c r="E31"/>
  <c r="D31"/>
  <c r="P30"/>
  <c r="C30"/>
  <c r="P29"/>
  <c r="P28"/>
  <c r="O25"/>
  <c r="N25"/>
  <c r="N24"/>
  <c r="M25"/>
  <c r="L25"/>
  <c r="K25"/>
  <c r="K24"/>
  <c r="J25"/>
  <c r="J24"/>
  <c r="I25"/>
  <c r="H25"/>
  <c r="F25"/>
  <c r="F24"/>
  <c r="O24"/>
  <c r="P23"/>
  <c r="C23"/>
  <c r="P22"/>
  <c r="P21"/>
  <c r="P20"/>
  <c r="P19"/>
  <c r="P18"/>
  <c r="O17"/>
  <c r="N17"/>
  <c r="M17"/>
  <c r="L17"/>
  <c r="K17"/>
  <c r="J17"/>
  <c r="I17"/>
  <c r="H17"/>
  <c r="G17"/>
  <c r="F17"/>
  <c r="E17"/>
  <c r="D17"/>
  <c r="P16"/>
  <c r="C16"/>
  <c r="P15"/>
  <c r="P14"/>
  <c r="P13"/>
  <c r="P12"/>
  <c r="P11"/>
  <c r="P10"/>
  <c r="P9"/>
  <c r="P8"/>
  <c r="O7"/>
  <c r="N7"/>
  <c r="M7"/>
  <c r="M6"/>
  <c r="L7"/>
  <c r="L6"/>
  <c r="K7"/>
  <c r="J7"/>
  <c r="I7"/>
  <c r="I6"/>
  <c r="H7"/>
  <c r="H6"/>
  <c r="G7"/>
  <c r="F7"/>
  <c r="E7"/>
  <c r="E6"/>
  <c r="D7"/>
  <c r="L39"/>
  <c r="D55"/>
  <c r="L55"/>
  <c r="K84"/>
  <c r="H128"/>
  <c r="L128"/>
  <c r="D128" i="9"/>
  <c r="P128"/>
  <c r="H24" i="8"/>
  <c r="L24"/>
  <c r="I39"/>
  <c r="M39"/>
  <c r="E56"/>
  <c r="P56"/>
  <c r="I55"/>
  <c r="M55"/>
  <c r="P84" i="9"/>
  <c r="N55" i="8"/>
  <c r="J98"/>
  <c r="K128"/>
  <c r="O128"/>
  <c r="F144"/>
  <c r="P152" i="9"/>
  <c r="J6" i="8"/>
  <c r="N6"/>
  <c r="K6"/>
  <c r="O6"/>
  <c r="I24"/>
  <c r="M24"/>
  <c r="J69"/>
  <c r="F39"/>
  <c r="N39"/>
  <c r="G84"/>
  <c r="O84"/>
  <c r="J144"/>
  <c r="N144"/>
  <c r="P101"/>
  <c r="D99"/>
  <c r="F6"/>
  <c r="G6"/>
  <c r="P145"/>
  <c r="E144"/>
  <c r="P131"/>
  <c r="P31"/>
  <c r="K39"/>
  <c r="O39"/>
  <c r="K55"/>
  <c r="O55"/>
  <c r="F69"/>
  <c r="P85"/>
  <c r="H84"/>
  <c r="L84"/>
  <c r="D144"/>
  <c r="G144"/>
  <c r="P70"/>
  <c r="P113" i="9"/>
  <c r="P120"/>
  <c r="P105"/>
  <c r="D98"/>
  <c r="P98"/>
  <c r="P91"/>
  <c r="Q91"/>
  <c r="R91"/>
  <c r="F113" i="8"/>
  <c r="D113"/>
  <c r="G128"/>
  <c r="P136"/>
  <c r="P91"/>
  <c r="Q91"/>
  <c r="R91"/>
  <c r="E55"/>
  <c r="G55"/>
  <c r="F55"/>
  <c r="P62"/>
  <c r="G39"/>
  <c r="E39"/>
  <c r="P46"/>
  <c r="G24"/>
  <c r="P152"/>
  <c r="E69"/>
  <c r="P76"/>
  <c r="P17"/>
  <c r="D6"/>
  <c r="D129"/>
  <c r="D128"/>
  <c r="P128"/>
  <c r="P115"/>
  <c r="P114"/>
  <c r="F98"/>
  <c r="P111"/>
  <c r="E98"/>
  <c r="G98"/>
  <c r="P99"/>
  <c r="P105"/>
  <c r="D69"/>
  <c r="P40"/>
  <c r="D39"/>
  <c r="P39"/>
  <c r="E25"/>
  <c r="E24"/>
  <c r="P26"/>
  <c r="D25"/>
  <c r="P120"/>
  <c r="E113"/>
  <c r="D84"/>
  <c r="P84"/>
  <c r="D98"/>
  <c r="P129"/>
  <c r="P25"/>
  <c r="P69"/>
  <c r="P55"/>
  <c r="P113"/>
  <c r="P98"/>
  <c r="D24"/>
  <c r="P24"/>
  <c r="C25" i="6"/>
  <c r="C53" i="2"/>
  <c r="G139" i="7"/>
  <c r="F141"/>
  <c r="E141"/>
  <c r="D141"/>
  <c r="F52"/>
  <c r="E52"/>
  <c r="D52"/>
  <c r="F116"/>
  <c r="E116"/>
  <c r="D116"/>
  <c r="C76" i="6"/>
  <c r="G20"/>
  <c r="C84"/>
  <c r="C68"/>
  <c r="C61"/>
  <c r="C53"/>
  <c r="C39"/>
  <c r="C32"/>
  <c r="C18"/>
  <c r="C46"/>
  <c r="C61" i="2"/>
  <c r="C76"/>
  <c r="C84"/>
  <c r="C68"/>
  <c r="C46"/>
  <c r="C39"/>
  <c r="C32"/>
  <c r="C25"/>
  <c r="C18"/>
  <c r="G115" i="7"/>
  <c r="G63"/>
  <c r="G57"/>
  <c r="C160"/>
  <c r="C152"/>
  <c r="C144"/>
  <c r="C136"/>
  <c r="C128"/>
  <c r="C120"/>
  <c r="C113"/>
  <c r="C105"/>
  <c r="C98"/>
  <c r="C91"/>
  <c r="C84"/>
  <c r="C76"/>
  <c r="C69"/>
  <c r="C62"/>
  <c r="C55"/>
  <c r="C47"/>
  <c r="C40"/>
  <c r="C32"/>
  <c r="C25"/>
  <c r="C18"/>
  <c r="C161" i="1"/>
  <c r="C153"/>
  <c r="C145"/>
  <c r="C137"/>
  <c r="C129"/>
  <c r="C121"/>
  <c r="C114"/>
  <c r="C106"/>
  <c r="C98"/>
  <c r="C91"/>
  <c r="C84"/>
  <c r="C76"/>
  <c r="C69"/>
  <c r="C62"/>
  <c r="C55"/>
  <c r="C47"/>
  <c r="C40"/>
  <c r="C32"/>
  <c r="C25"/>
  <c r="C18"/>
  <c r="G154"/>
  <c r="G147"/>
  <c r="G138"/>
  <c r="G131"/>
  <c r="G122"/>
  <c r="G116"/>
  <c r="G107"/>
  <c r="G100"/>
  <c r="G92"/>
  <c r="G86"/>
  <c r="G77"/>
  <c r="G71"/>
  <c r="G57"/>
  <c r="G48"/>
  <c r="G42"/>
  <c r="G33"/>
  <c r="G27"/>
  <c r="G19"/>
  <c r="G122" i="7"/>
  <c r="F122"/>
  <c r="E122"/>
  <c r="D122"/>
  <c r="G56"/>
  <c r="G130" i="1"/>
  <c r="G115"/>
  <c r="G146"/>
  <c r="G99"/>
  <c r="G70"/>
  <c r="F107" i="7"/>
  <c r="E107"/>
  <c r="D107"/>
  <c r="D75" i="6"/>
  <c r="G78" i="2"/>
  <c r="G70"/>
  <c r="G63"/>
  <c r="G55"/>
  <c r="G48"/>
  <c r="G41"/>
  <c r="G34"/>
  <c r="G27"/>
  <c r="G20"/>
  <c r="G9"/>
  <c r="G81" i="7"/>
  <c r="G79"/>
  <c r="G41" i="1"/>
  <c r="G26"/>
  <c r="G8"/>
  <c r="G85"/>
  <c r="G63"/>
  <c r="G56"/>
  <c r="D28" i="7"/>
  <c r="G77"/>
  <c r="G157"/>
  <c r="F157"/>
  <c r="E157"/>
  <c r="D157"/>
  <c r="G155"/>
  <c r="F155"/>
  <c r="E155"/>
  <c r="D155"/>
  <c r="G151"/>
  <c r="F151"/>
  <c r="E151"/>
  <c r="D151"/>
  <c r="G148"/>
  <c r="G146"/>
  <c r="F148"/>
  <c r="F146"/>
  <c r="E148"/>
  <c r="E146"/>
  <c r="D148"/>
  <c r="F139"/>
  <c r="E139"/>
  <c r="D139"/>
  <c r="G137"/>
  <c r="G135"/>
  <c r="G130"/>
  <c r="F135"/>
  <c r="E135"/>
  <c r="D135"/>
  <c r="F132"/>
  <c r="E132"/>
  <c r="D132"/>
  <c r="D130"/>
  <c r="F125"/>
  <c r="E125"/>
  <c r="D125"/>
  <c r="D126"/>
  <c r="G124"/>
  <c r="G121"/>
  <c r="G114"/>
  <c r="F124"/>
  <c r="E124"/>
  <c r="D124"/>
  <c r="F123"/>
  <c r="E123"/>
  <c r="D123"/>
  <c r="F115"/>
  <c r="E115"/>
  <c r="D115"/>
  <c r="F110"/>
  <c r="E110"/>
  <c r="D111"/>
  <c r="G108"/>
  <c r="G106"/>
  <c r="F108"/>
  <c r="F106"/>
  <c r="E108"/>
  <c r="E106"/>
  <c r="D108"/>
  <c r="D106"/>
  <c r="G104"/>
  <c r="G100"/>
  <c r="G99"/>
  <c r="F104"/>
  <c r="E104"/>
  <c r="D104"/>
  <c r="F102"/>
  <c r="E102"/>
  <c r="D102"/>
  <c r="G94"/>
  <c r="G92"/>
  <c r="F94"/>
  <c r="E94"/>
  <c r="D94"/>
  <c r="D92"/>
  <c r="G90"/>
  <c r="F90"/>
  <c r="E90"/>
  <c r="E86"/>
  <c r="D90"/>
  <c r="D86"/>
  <c r="F81"/>
  <c r="E81"/>
  <c r="D81"/>
  <c r="F79"/>
  <c r="E79"/>
  <c r="D79"/>
  <c r="G75"/>
  <c r="G71"/>
  <c r="F75"/>
  <c r="F71"/>
  <c r="E75"/>
  <c r="D75"/>
  <c r="D71"/>
  <c r="F65"/>
  <c r="E65"/>
  <c r="D65"/>
  <c r="F59"/>
  <c r="E59"/>
  <c r="E57"/>
  <c r="D59"/>
  <c r="D57"/>
  <c r="G51"/>
  <c r="F51"/>
  <c r="E51"/>
  <c r="D51"/>
  <c r="G50"/>
  <c r="F50"/>
  <c r="E50"/>
  <c r="D50"/>
  <c r="G49"/>
  <c r="G48"/>
  <c r="F49"/>
  <c r="F48"/>
  <c r="E49"/>
  <c r="E48"/>
  <c r="D49"/>
  <c r="G46"/>
  <c r="G42"/>
  <c r="F46"/>
  <c r="F42"/>
  <c r="E46"/>
  <c r="E42"/>
  <c r="D46"/>
  <c r="D42"/>
  <c r="G37"/>
  <c r="F37"/>
  <c r="E37"/>
  <c r="D37"/>
  <c r="G35"/>
  <c r="F35"/>
  <c r="E35"/>
  <c r="D35"/>
  <c r="G34"/>
  <c r="G33"/>
  <c r="F34"/>
  <c r="E34"/>
  <c r="D34"/>
  <c r="G29"/>
  <c r="G27"/>
  <c r="F29"/>
  <c r="F27"/>
  <c r="E29"/>
  <c r="D29"/>
  <c r="F28"/>
  <c r="E28"/>
  <c r="F20"/>
  <c r="E20"/>
  <c r="G24"/>
  <c r="F24"/>
  <c r="E24"/>
  <c r="D24"/>
  <c r="G21"/>
  <c r="G19"/>
  <c r="F21"/>
  <c r="E21"/>
  <c r="D21"/>
  <c r="D20"/>
  <c r="G12"/>
  <c r="F12"/>
  <c r="E12"/>
  <c r="D12"/>
  <c r="F86"/>
  <c r="E71"/>
  <c r="F57"/>
  <c r="G83" i="6"/>
  <c r="F83"/>
  <c r="E83"/>
  <c r="D83"/>
  <c r="G80"/>
  <c r="G78"/>
  <c r="G77"/>
  <c r="F80"/>
  <c r="E80"/>
  <c r="D80"/>
  <c r="G75"/>
  <c r="G70"/>
  <c r="G69"/>
  <c r="F75"/>
  <c r="E75"/>
  <c r="F72"/>
  <c r="E72"/>
  <c r="D72"/>
  <c r="G65"/>
  <c r="G63"/>
  <c r="F65"/>
  <c r="E65"/>
  <c r="D65"/>
  <c r="G38"/>
  <c r="G34"/>
  <c r="G33"/>
  <c r="F38"/>
  <c r="E38"/>
  <c r="D38"/>
  <c r="G43"/>
  <c r="G41"/>
  <c r="F43"/>
  <c r="E43"/>
  <c r="E41"/>
  <c r="E40"/>
  <c r="D43"/>
  <c r="D41"/>
  <c r="G60"/>
  <c r="F60"/>
  <c r="E60"/>
  <c r="D60"/>
  <c r="G52"/>
  <c r="G48"/>
  <c r="G47"/>
  <c r="F52"/>
  <c r="E52"/>
  <c r="D52"/>
  <c r="D48"/>
  <c r="G57"/>
  <c r="F57"/>
  <c r="E57"/>
  <c r="D57"/>
  <c r="F41"/>
  <c r="F40"/>
  <c r="F28"/>
  <c r="G31"/>
  <c r="G27"/>
  <c r="F31"/>
  <c r="E31"/>
  <c r="D31"/>
  <c r="E27"/>
  <c r="E26"/>
  <c r="D28"/>
  <c r="G19"/>
  <c r="F22"/>
  <c r="E22"/>
  <c r="E20"/>
  <c r="E19"/>
  <c r="D22"/>
  <c r="G12"/>
  <c r="G9"/>
  <c r="G8"/>
  <c r="F12"/>
  <c r="E12"/>
  <c r="E9"/>
  <c r="E8"/>
  <c r="D12"/>
  <c r="F78"/>
  <c r="F77"/>
  <c r="E78"/>
  <c r="E77"/>
  <c r="D78"/>
  <c r="D77"/>
  <c r="F70"/>
  <c r="F69"/>
  <c r="E70"/>
  <c r="E69"/>
  <c r="D70"/>
  <c r="F63"/>
  <c r="F62"/>
  <c r="E63"/>
  <c r="E62"/>
  <c r="D63"/>
  <c r="G62"/>
  <c r="F48"/>
  <c r="F47"/>
  <c r="E48"/>
  <c r="E47"/>
  <c r="G40"/>
  <c r="F34"/>
  <c r="F33"/>
  <c r="E34"/>
  <c r="E33"/>
  <c r="D34"/>
  <c r="G26"/>
  <c r="F20"/>
  <c r="F19"/>
  <c r="D9"/>
  <c r="D8"/>
  <c r="D33" i="7"/>
  <c r="E27"/>
  <c r="E130"/>
  <c r="F100"/>
  <c r="F99"/>
  <c r="F27" i="6"/>
  <c r="F26"/>
  <c r="F55"/>
  <c r="F54"/>
  <c r="D100" i="7"/>
  <c r="D99"/>
  <c r="G55" i="6"/>
  <c r="G54"/>
  <c r="E100" i="7"/>
  <c r="E99"/>
  <c r="F130"/>
  <c r="G70"/>
  <c r="G129"/>
  <c r="G153"/>
  <c r="G145"/>
  <c r="E137"/>
  <c r="G41"/>
  <c r="G86"/>
  <c r="G85"/>
  <c r="G8"/>
  <c r="G26"/>
  <c r="F153"/>
  <c r="F145"/>
  <c r="E153"/>
  <c r="E145"/>
  <c r="D153"/>
  <c r="D146"/>
  <c r="F137"/>
  <c r="D137"/>
  <c r="E121"/>
  <c r="E114"/>
  <c r="D121"/>
  <c r="D114"/>
  <c r="F33"/>
  <c r="F26"/>
  <c r="E77"/>
  <c r="E70"/>
  <c r="D48"/>
  <c r="D41"/>
  <c r="E63"/>
  <c r="E56"/>
  <c r="F77"/>
  <c r="F70"/>
  <c r="E92"/>
  <c r="E85"/>
  <c r="F92"/>
  <c r="F85"/>
  <c r="D85"/>
  <c r="D77"/>
  <c r="D63"/>
  <c r="D56"/>
  <c r="F63"/>
  <c r="F56"/>
  <c r="F41"/>
  <c r="E41"/>
  <c r="E33"/>
  <c r="E26"/>
  <c r="D27"/>
  <c r="F19"/>
  <c r="F8"/>
  <c r="E19"/>
  <c r="E8"/>
  <c r="D19"/>
  <c r="F121"/>
  <c r="F114"/>
  <c r="D33" i="6"/>
  <c r="D47"/>
  <c r="E55"/>
  <c r="E54"/>
  <c r="D55"/>
  <c r="D40"/>
  <c r="D27"/>
  <c r="D26"/>
  <c r="D20"/>
  <c r="F9"/>
  <c r="F8"/>
  <c r="D62"/>
  <c r="D69"/>
  <c r="E129" i="7"/>
  <c r="F129"/>
  <c r="D145"/>
  <c r="D129"/>
  <c r="D70"/>
  <c r="D26"/>
  <c r="D8"/>
  <c r="D54" i="6"/>
  <c r="D19"/>
  <c r="E71" i="1"/>
  <c r="F71"/>
  <c r="D71"/>
  <c r="G77" i="2"/>
  <c r="G69"/>
  <c r="G62"/>
  <c r="G54"/>
  <c r="G47"/>
  <c r="G40"/>
  <c r="G33"/>
  <c r="F78"/>
  <c r="F77"/>
  <c r="E78"/>
  <c r="E77"/>
  <c r="D78"/>
  <c r="D77"/>
  <c r="F72"/>
  <c r="F70"/>
  <c r="F69"/>
  <c r="E72"/>
  <c r="E70"/>
  <c r="E69"/>
  <c r="D72"/>
  <c r="D70"/>
  <c r="D69"/>
  <c r="F63"/>
  <c r="F62"/>
  <c r="E63"/>
  <c r="E62"/>
  <c r="D63"/>
  <c r="D62"/>
  <c r="F55"/>
  <c r="F54"/>
  <c r="E55"/>
  <c r="E54"/>
  <c r="D55"/>
  <c r="D54"/>
  <c r="F48"/>
  <c r="F47"/>
  <c r="E48"/>
  <c r="E47"/>
  <c r="D48"/>
  <c r="D47"/>
  <c r="F41"/>
  <c r="F40"/>
  <c r="E41"/>
  <c r="E40"/>
  <c r="D41"/>
  <c r="D40"/>
  <c r="F34"/>
  <c r="F33"/>
  <c r="E34"/>
  <c r="E33"/>
  <c r="D34"/>
  <c r="D33"/>
  <c r="G26"/>
  <c r="F27"/>
  <c r="F26"/>
  <c r="E27"/>
  <c r="E26"/>
  <c r="D27"/>
  <c r="D26"/>
  <c r="G19"/>
  <c r="F20"/>
  <c r="F19"/>
  <c r="E20"/>
  <c r="E19"/>
  <c r="D20"/>
  <c r="D19"/>
  <c r="G8"/>
  <c r="F9"/>
  <c r="F8"/>
  <c r="E9"/>
  <c r="E8"/>
  <c r="D9"/>
  <c r="D8"/>
  <c r="E86" i="1"/>
  <c r="E147"/>
  <c r="F147"/>
  <c r="D147"/>
  <c r="E138"/>
  <c r="F138"/>
  <c r="D138"/>
  <c r="F133"/>
  <c r="F131"/>
  <c r="E133"/>
  <c r="E131"/>
  <c r="D133"/>
  <c r="D122"/>
  <c r="F124"/>
  <c r="F122"/>
  <c r="E124"/>
  <c r="E122"/>
  <c r="E116"/>
  <c r="F116"/>
  <c r="D116"/>
  <c r="E107"/>
  <c r="F107"/>
  <c r="D107"/>
  <c r="E100"/>
  <c r="F100"/>
  <c r="D100"/>
  <c r="E92"/>
  <c r="F92"/>
  <c r="D92"/>
  <c r="F86"/>
  <c r="D86"/>
  <c r="E77"/>
  <c r="F77"/>
  <c r="F70"/>
  <c r="D77"/>
  <c r="E63"/>
  <c r="F63"/>
  <c r="D63"/>
  <c r="D57"/>
  <c r="D131"/>
  <c r="E99"/>
  <c r="F99"/>
  <c r="E57"/>
  <c r="E56"/>
  <c r="F57"/>
  <c r="F56"/>
  <c r="E48"/>
  <c r="F48"/>
  <c r="D48"/>
  <c r="E42"/>
  <c r="F42"/>
  <c r="D42"/>
  <c r="E33"/>
  <c r="F33"/>
  <c r="D33"/>
  <c r="E27"/>
  <c r="F27"/>
  <c r="D27"/>
  <c r="E19"/>
  <c r="F19"/>
  <c r="D19"/>
  <c r="D8"/>
  <c r="D26"/>
  <c r="E154"/>
  <c r="F154"/>
  <c r="D154"/>
  <c r="E146"/>
  <c r="D146"/>
  <c r="F146"/>
  <c r="E130"/>
  <c r="F130"/>
  <c r="D130"/>
  <c r="D99"/>
  <c r="D85"/>
  <c r="D115"/>
  <c r="F85"/>
  <c r="F115"/>
  <c r="E85"/>
  <c r="E115"/>
  <c r="E70"/>
  <c r="E41"/>
  <c r="F41"/>
  <c r="D41"/>
  <c r="E26"/>
  <c r="F26"/>
  <c r="D70"/>
  <c r="D56"/>
  <c r="E8"/>
  <c r="F8"/>
</calcChain>
</file>

<file path=xl/sharedStrings.xml><?xml version="1.0" encoding="utf-8"?>
<sst xmlns="http://schemas.openxmlformats.org/spreadsheetml/2006/main" count="2501" uniqueCount="297">
  <si>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</si>
  <si>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</si>
  <si>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</si>
  <si>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</si>
  <si>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</si>
  <si>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</si>
  <si>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</si>
  <si>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</si>
  <si>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</si>
  <si>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</si>
  <si>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</si>
  <si>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</si>
  <si>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</si>
  <si>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</si>
  <si>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</si>
  <si>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</si>
  <si>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</si>
  <si>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</si>
  <si>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</si>
  <si>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</si>
  <si>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</si>
  <si>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</si>
  <si>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</si>
  <si>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</si>
  <si>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</si>
  <si>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</si>
  <si>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</si>
  <si>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</si>
  <si>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</si>
  <si>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</si>
  <si>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</si>
  <si>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</si>
  <si>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</si>
  <si>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</si>
  <si>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</si>
  <si>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</si>
  <si>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</si>
  <si>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</si>
  <si>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</si>
  <si>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</si>
  <si>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</si>
  <si>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</si>
  <si>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</si>
  <si>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</si>
  <si>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</si>
  <si>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</si>
  <si>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</si>
  <si>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</si>
  <si>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</si>
  <si>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</si>
  <si>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</si>
  <si>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</si>
  <si>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</si>
  <si>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</si>
  <si>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</si>
  <si>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</si>
  <si>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</si>
  <si>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</si>
  <si>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</si>
  <si>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</si>
  <si>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</si>
  <si>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</si>
  <si>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</si>
  <si>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</si>
  <si>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</si>
  <si>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</si>
  <si>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</si>
  <si>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</si>
  <si>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</si>
  <si>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</si>
  <si>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</si>
  <si>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</si>
  <si>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</si>
  <si>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</si>
  <si>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</si>
  <si>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</si>
  <si>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</si>
  <si>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</si>
  <si>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</si>
  <si>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</si>
  <si>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</si>
  <si>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</si>
  <si>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</si>
  <si>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</si>
  <si>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</si>
  <si>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</si>
  <si>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</si>
  <si>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</si>
  <si>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</si>
  <si>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</si>
  <si>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</si>
  <si>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</si>
  <si>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</si>
  <si>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</si>
  <si>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</si>
  <si>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</si>
  <si>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</si>
  <si>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</si>
  <si>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</si>
  <si>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</si>
  <si>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</si>
  <si>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</si>
  <si>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</si>
  <si>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</si>
  <si>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</si>
  <si>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</si>
  <si>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</si>
  <si>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</si>
  <si>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</si>
  <si>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</si>
  <si>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</si>
  <si>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</si>
  <si>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</si>
  <si>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</si>
  <si>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</si>
  <si>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</si>
  <si>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</si>
  <si>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</si>
  <si>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</si>
  <si>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</si>
  <si>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</si>
  <si>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</si>
  <si>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</si>
  <si>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</si>
  <si>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</si>
  <si>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</si>
  <si>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</si>
  <si>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</si>
  <si>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</si>
  <si>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</si>
  <si>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</si>
  <si>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</si>
  <si>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</si>
  <si>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</si>
  <si>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</si>
  <si>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Пряник</t>
  </si>
  <si>
    <t>Масло сливочное (порциями)</t>
  </si>
  <si>
    <t>Салат из белокочанной капусты</t>
  </si>
  <si>
    <t>Суп - лапша домашняя с мясом птицы</t>
  </si>
  <si>
    <t>Плов из филе птицы</t>
  </si>
  <si>
    <t>Голубцы ленивые</t>
  </si>
  <si>
    <t>Суп картофельный с рисовой крупой с фрикадельками</t>
  </si>
  <si>
    <t>54-283/23</t>
  </si>
  <si>
    <t>Свекла отварная дольками</t>
  </si>
  <si>
    <t>Жаркое "Пикантное"</t>
  </si>
  <si>
    <t>Борщ с капустой и картофелем со сметаной и фрикадельками</t>
  </si>
  <si>
    <t>Котлеты из мяса птицы</t>
  </si>
  <si>
    <t>Салат из моркови с сахаром</t>
  </si>
  <si>
    <t>Суп из овощей со сметаной и фрикадельками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</si>
  <si>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</si>
  <si>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</si>
  <si>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</si>
  <si>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</si>
  <si>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</si>
  <si>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</si>
  <si>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Суп картофельный с макаронными изделиями с фрикадельками</t>
  </si>
  <si>
    <t>Бигус с птицей</t>
  </si>
  <si>
    <t>Рис отварной</t>
  </si>
  <si>
    <t>Напиток каркаде с сахаром</t>
  </si>
  <si>
    <t>Свекольник со сметаной и фрикадельками</t>
  </si>
  <si>
    <t>278/14</t>
  </si>
  <si>
    <t>Тефтели мясные с соусом</t>
  </si>
  <si>
    <t>Митболы "Ориджинал" с красным соусом</t>
  </si>
  <si>
    <t>Суп крестьянский с крупой со сметаной и фрикадельками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</si>
  <si>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</si>
  <si>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</si>
  <si>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</si>
  <si>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</si>
  <si>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</si>
  <si>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</si>
  <si>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>Суп картофельный с бобовыми с мясом птицы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</si>
  <si>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</si>
  <si>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</si>
  <si>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</si>
  <si>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</si>
  <si>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</si>
  <si>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</si>
  <si>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</si>
  <si>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</si>
  <si>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</si>
  <si>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</si>
  <si>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</si>
  <si>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</si>
  <si>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</si>
  <si>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</si>
  <si>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</si>
  <si>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</si>
  <si>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</si>
  <si>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</si>
  <si>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</si>
  <si>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</si>
  <si>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</si>
  <si>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</si>
  <si>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</si>
  <si>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</si>
  <si>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</si>
  <si>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</si>
  <si>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 xml:space="preserve">Голубцы ленивые 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</si>
  <si>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</si>
  <si>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</si>
  <si>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</si>
  <si>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</si>
  <si>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</si>
  <si>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</si>
  <si>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</si>
  <si>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</si>
  <si>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</si>
  <si>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</si>
  <si>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</si>
  <si>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</si>
  <si>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</si>
  <si>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</si>
  <si>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</si>
  <si>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</si>
  <si>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</si>
  <si>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</si>
  <si>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</si>
  <si>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</si>
  <si>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</si>
  <si>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 xml:space="preserve"> ТТК 370</t>
  </si>
  <si>
    <t>182/06</t>
  </si>
  <si>
    <t xml:space="preserve"> ТТК 298</t>
  </si>
  <si>
    <t xml:space="preserve"> ТТК 269</t>
  </si>
  <si>
    <t xml:space="preserve"> ТТК 323</t>
  </si>
  <si>
    <t xml:space="preserve"> ТТК 369</t>
  </si>
  <si>
    <t>110/06</t>
  </si>
  <si>
    <t xml:space="preserve"> ТТК 218</t>
  </si>
  <si>
    <t xml:space="preserve"> ТТК 203</t>
  </si>
  <si>
    <t xml:space="preserve"> ТТК 209</t>
  </si>
  <si>
    <t xml:space="preserve"> ТТК370</t>
  </si>
  <si>
    <t>Меню для учащихся, получающих бюджетные средства на питание в размере 72,08 руб. (завтрак)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</si>
  <si>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</si>
  <si>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</si>
  <si>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</si>
  <si>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</si>
  <si>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</si>
  <si>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</si>
  <si>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</si>
  <si>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</si>
  <si>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</si>
  <si>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</si>
  <si>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</si>
  <si>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</si>
  <si>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</si>
  <si>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</si>
  <si>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</si>
  <si>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Меню для учащихся, получающих бюджетные средства на питание  в размере 147,00 руб. (завтрак, обед)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</si>
  <si>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</si>
  <si>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Меню для учащихся, получающих бюджетные средства на питание  в размере 72,08 руб. (завтрак)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</si>
  <si>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</si>
  <si>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Меню для учащихся, получающих бюджетные средства на питание в размере 147,00 руб. (завтрак, обед)</t>
  </si>
  <si>
    <t>Категории:
1. Обучающиеся с ограниченными возможностями здоровья и дети-инвалиды.</t>
  </si>
  <si>
    <t>Меню для учащихся, получающих бюджетные средства на питание в размере 148,00 руб. (завтрак, обед)</t>
  </si>
  <si>
    <t>Категории:
-  Обучающиеся, один из родителей которых является военнослужащим;
- Обучающиеся, один из родителей которых является военнослужащим, погибшим (умершим) в результате участия в специальной военной операции.</t>
  </si>
  <si>
    <t>Запеканка из творога с молоком сгущённым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</si>
  <si>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</si>
  <si>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</si>
  <si>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</si>
  <si>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Омлет натуральный с маслом</t>
  </si>
  <si>
    <t>210/17</t>
  </si>
  <si>
    <t>Чахохбили</t>
  </si>
  <si>
    <t>ТТК 247</t>
  </si>
  <si>
    <t>Напиток яблочно-лимонный</t>
  </si>
  <si>
    <t>242/05</t>
  </si>
  <si>
    <t>ТТК 246</t>
  </si>
  <si>
    <t>Шницель мясной</t>
  </si>
  <si>
    <t>268/17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</si>
  <si>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</si>
  <si>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</si>
  <si>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</si>
  <si>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</si>
  <si>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</si>
  <si>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Котлеты рыбные "Фиеста"</t>
  </si>
  <si>
    <t>ТТК 270</t>
  </si>
  <si>
    <t>ДЕНЬ 19. ЭНЕРГЕТИЧЕСКАЯ И ПИЩЕВАЯ ЦЕННОСТЬ ЗА ДЕНЬ</t>
  </si>
  <si>
    <t>ДЕНЬ 20. ЭНЕРГЕТИЧЕСКАЯ И ПИЩЕВАЯ ЦЕННОСТЬ ЗА ДЕНЬ</t>
  </si>
  <si>
    <t>Пудинг из творога с молоком сгущённым</t>
  </si>
  <si>
    <t>222/17</t>
  </si>
  <si>
    <t>Рассольник "Ленинградский" со сметаной</t>
  </si>
  <si>
    <t>96/17</t>
  </si>
  <si>
    <t>Овощи солёные порционные (огурцы)</t>
  </si>
  <si>
    <t>70/17</t>
  </si>
  <si>
    <t>Рыба, запечённая с картофелем по-русски</t>
  </si>
  <si>
    <t>151/06</t>
  </si>
  <si>
    <t>87/17</t>
  </si>
  <si>
    <t>Щи из свежей капусты с картофелем со сметаной и мясом птицы</t>
  </si>
  <si>
    <t>Гуляш из мяса</t>
  </si>
  <si>
    <t>Каша пшенная вязкая</t>
  </si>
  <si>
    <t>303/17</t>
  </si>
  <si>
    <t>Каша молочная рисовая (жидкая) с маслом сливочным</t>
  </si>
  <si>
    <t>265/17</t>
  </si>
  <si>
    <t>Азу из мяса без картофеля</t>
  </si>
  <si>
    <t>Азу из мяса по- домашнему</t>
  </si>
  <si>
    <t>Бигус с мясом</t>
  </si>
  <si>
    <t>Плов из мяса</t>
  </si>
  <si>
    <t>288/17</t>
  </si>
  <si>
    <t>Птица отварная (бедро)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</si>
</sst>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84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7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8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9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49" fontId="15" fillId="2" borderId="0" xfId="0" applyNumberFormat="1" applyFont="1" applyFill="1" applyBorder="1" applyAlignment="1" applyProtection="1">
      <alignment horizont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1" fontId="14" fillId="0" borderId="5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2" fontId="14" fillId="0" borderId="3" xfId="1" applyNumberFormat="1" applyFont="1" applyFill="1" applyBorder="1" applyAlignment="1" applyProtection="1">
      <alignment horizontal="center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10" xfId="0" applyNumberFormat="1" applyFont="1" applyFill="1" applyBorder="1" applyAlignment="1" applyProtection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9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9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10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9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162"/>
  <sheetViews>
    <sheetView tabSelected="1" topLeftCell="A99" zoomScaleNormal="100" workbookViewId="0">
      <selection activeCell="D125" sqref="D125"/>
    </sheetView>
  </sheetViews>
  <sheetFormatPr defaultRowHeight="12.75"/>
  <cols>
    <col min="1" max="1" width="11" style="195" customWidth="1"/>
    <col min="2" max="2" width="32.85546875" style="209" customWidth="1"/>
    <col min="3" max="3" width="10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85546875" style="195" customWidth="1"/>
    <col min="8" max="16384" width="9.140625" style="184"/>
  </cols>
  <sheetData>
    <row r="1" spans="1:7">
      <c r="A1" s="251" t="s">
        <v>230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>
      <c r="A3" s="249" t="s">
        <v>245</v>
      </c>
      <c r="B3" s="249"/>
      <c r="C3" s="249"/>
      <c r="D3" s="249"/>
      <c r="E3" s="249"/>
      <c r="F3" s="249"/>
      <c r="G3" s="249"/>
    </row>
    <row r="4" spans="1:7" ht="48.7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2" t="s">
        <v>231</v>
      </c>
      <c r="B5" s="252" t="s">
        <v>232</v>
      </c>
      <c r="C5" s="252" t="s">
        <v>233</v>
      </c>
      <c r="D5" s="252" t="s">
        <v>234</v>
      </c>
      <c r="E5" s="252"/>
      <c r="F5" s="252"/>
      <c r="G5" s="252" t="s">
        <v>23</v>
      </c>
    </row>
    <row r="6" spans="1:7" ht="34.5" customHeight="1">
      <c r="A6" s="252"/>
      <c r="B6" s="252"/>
      <c r="C6" s="252"/>
      <c r="D6" s="186" t="s">
        <v>17</v>
      </c>
      <c r="E6" s="186" t="s">
        <v>19</v>
      </c>
      <c r="F6" s="186" t="s">
        <v>21</v>
      </c>
      <c r="G6" s="252"/>
    </row>
    <row r="7" spans="1:7" s="195" customFormat="1">
      <c r="A7" s="186" t="s">
        <v>2</v>
      </c>
      <c r="B7" s="186" t="s">
        <v>8</v>
      </c>
      <c r="C7" s="186" t="s">
        <v>15</v>
      </c>
      <c r="D7" s="186" t="s">
        <v>18</v>
      </c>
      <c r="E7" s="186" t="s">
        <v>20</v>
      </c>
      <c r="F7" s="186" t="s">
        <v>22</v>
      </c>
      <c r="G7" s="186" t="s">
        <v>24</v>
      </c>
    </row>
    <row r="8" spans="1:7" ht="27.95" customHeight="1">
      <c r="A8" s="246" t="s">
        <v>235</v>
      </c>
      <c r="B8" s="246"/>
      <c r="C8" s="246"/>
      <c r="D8" s="185">
        <f>D9</f>
        <v>16.34</v>
      </c>
      <c r="E8" s="185">
        <f>E9</f>
        <v>19.29</v>
      </c>
      <c r="F8" s="185">
        <f>F9</f>
        <v>90.69</v>
      </c>
      <c r="G8" s="185">
        <f>G9</f>
        <v>604.97</v>
      </c>
    </row>
    <row r="9" spans="1:7">
      <c r="A9" s="186"/>
      <c r="B9" s="187" t="s">
        <v>66</v>
      </c>
      <c r="C9" s="186"/>
      <c r="D9" s="185">
        <f>D10+D11+D12+D13+D14+D15</f>
        <v>16.34</v>
      </c>
      <c r="E9" s="185">
        <f>E10+E11+E12+E13+E14+E15</f>
        <v>19.29</v>
      </c>
      <c r="F9" s="185">
        <f>F10+F11+F12+F13+F14+F15</f>
        <v>90.69</v>
      </c>
      <c r="G9" s="185">
        <f>G10+G11+G12+G13+G14+G15</f>
        <v>604.97</v>
      </c>
    </row>
    <row r="10" spans="1:7">
      <c r="A10" s="188" t="s">
        <v>175</v>
      </c>
      <c r="B10" s="182" t="s">
        <v>35</v>
      </c>
      <c r="C10" s="188">
        <v>10</v>
      </c>
      <c r="D10" s="189">
        <v>2.6</v>
      </c>
      <c r="E10" s="189">
        <v>2.65</v>
      </c>
      <c r="F10" s="189">
        <v>0.35</v>
      </c>
      <c r="G10" s="189">
        <v>36.24</v>
      </c>
    </row>
    <row r="11" spans="1:7">
      <c r="A11" s="188" t="s">
        <v>173</v>
      </c>
      <c r="B11" s="182" t="s">
        <v>136</v>
      </c>
      <c r="C11" s="188">
        <v>5</v>
      </c>
      <c r="D11" s="189">
        <v>0.05</v>
      </c>
      <c r="E11" s="189">
        <v>3.63</v>
      </c>
      <c r="F11" s="189">
        <v>7.0000000000000007E-2</v>
      </c>
      <c r="G11" s="189">
        <v>33.11</v>
      </c>
    </row>
    <row r="12" spans="1:7" ht="25.5">
      <c r="A12" s="188" t="s">
        <v>174</v>
      </c>
      <c r="B12" s="182" t="s">
        <v>196</v>
      </c>
      <c r="C12" s="188">
        <v>205</v>
      </c>
      <c r="D12" s="189">
        <v>6.81</v>
      </c>
      <c r="E12" s="189">
        <v>10.45</v>
      </c>
      <c r="F12" s="189">
        <v>29.51</v>
      </c>
      <c r="G12" s="189">
        <v>246.6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188"/>
      <c r="B15" s="182" t="s">
        <v>11</v>
      </c>
      <c r="C15" s="188">
        <v>40</v>
      </c>
      <c r="D15" s="189">
        <v>3.04</v>
      </c>
      <c r="E15" s="189">
        <v>0.32</v>
      </c>
      <c r="F15" s="189">
        <v>19.68</v>
      </c>
      <c r="G15" s="189">
        <v>98.34</v>
      </c>
    </row>
    <row r="16" spans="1:7" hidden="1">
      <c r="A16" s="204"/>
      <c r="B16" s="182"/>
      <c r="C16" s="204"/>
      <c r="D16" s="189"/>
      <c r="E16" s="189"/>
      <c r="F16" s="189"/>
      <c r="G16" s="189"/>
    </row>
    <row r="17" spans="1:7" hidden="1">
      <c r="A17" s="194"/>
      <c r="B17" s="190"/>
      <c r="C17" s="194"/>
      <c r="D17" s="191"/>
      <c r="E17" s="191"/>
      <c r="F17" s="191"/>
      <c r="G17" s="191"/>
    </row>
    <row r="18" spans="1:7">
      <c r="A18" s="247" t="s">
        <v>244</v>
      </c>
      <c r="B18" s="248"/>
      <c r="C18" s="205">
        <f>SUM(C10:C17)</f>
        <v>540</v>
      </c>
      <c r="D18" s="191"/>
      <c r="E18" s="191"/>
      <c r="F18" s="191"/>
      <c r="G18" s="191"/>
    </row>
    <row r="19" spans="1:7" ht="27.95" customHeight="1">
      <c r="A19" s="246" t="s">
        <v>236</v>
      </c>
      <c r="B19" s="246"/>
      <c r="C19" s="246"/>
      <c r="D19" s="185">
        <f>D20</f>
        <v>12.620000000000001</v>
      </c>
      <c r="E19" s="185">
        <f>E20</f>
        <v>16.91</v>
      </c>
      <c r="F19" s="185">
        <f>F20</f>
        <v>71.039999999999992</v>
      </c>
      <c r="G19" s="185">
        <f>G20</f>
        <v>503.65</v>
      </c>
    </row>
    <row r="20" spans="1:7">
      <c r="A20" s="186"/>
      <c r="B20" s="187" t="s">
        <v>66</v>
      </c>
      <c r="C20" s="186"/>
      <c r="D20" s="185">
        <f>D21+D22+D23+D24</f>
        <v>12.620000000000001</v>
      </c>
      <c r="E20" s="185">
        <f>E21+E22+E23+E24</f>
        <v>16.91</v>
      </c>
      <c r="F20" s="185">
        <f>F21+F22+F23+F24</f>
        <v>71.039999999999992</v>
      </c>
      <c r="G20" s="185">
        <f>G21+G22+G23+G24</f>
        <v>503.65</v>
      </c>
    </row>
    <row r="21" spans="1:7">
      <c r="A21" s="188" t="s">
        <v>219</v>
      </c>
      <c r="B21" s="182" t="s">
        <v>197</v>
      </c>
      <c r="C21" s="188">
        <v>115</v>
      </c>
      <c r="D21" s="189">
        <v>6.32</v>
      </c>
      <c r="E21" s="189">
        <v>8.7899999999999991</v>
      </c>
      <c r="F21" s="189">
        <v>19.37</v>
      </c>
      <c r="G21" s="189">
        <v>187.01</v>
      </c>
    </row>
    <row r="22" spans="1:7">
      <c r="A22" s="188" t="s">
        <v>34</v>
      </c>
      <c r="B22" s="182" t="s">
        <v>32</v>
      </c>
      <c r="C22" s="188">
        <v>150</v>
      </c>
      <c r="D22" s="189">
        <v>3.26</v>
      </c>
      <c r="E22" s="189">
        <v>7.8</v>
      </c>
      <c r="F22" s="189">
        <v>21.99</v>
      </c>
      <c r="G22" s="189">
        <v>176.3</v>
      </c>
    </row>
    <row r="23" spans="1:7">
      <c r="A23" s="194" t="s">
        <v>176</v>
      </c>
      <c r="B23" s="182" t="s">
        <v>10</v>
      </c>
      <c r="C23" s="188">
        <v>200</v>
      </c>
      <c r="D23" s="189">
        <v>0</v>
      </c>
      <c r="E23" s="189">
        <v>0</v>
      </c>
      <c r="F23" s="189">
        <v>10</v>
      </c>
      <c r="G23" s="189">
        <v>42</v>
      </c>
    </row>
    <row r="24" spans="1:7">
      <c r="A24" s="188"/>
      <c r="B24" s="182" t="s">
        <v>11</v>
      </c>
      <c r="C24" s="188">
        <v>40</v>
      </c>
      <c r="D24" s="189">
        <v>3.04</v>
      </c>
      <c r="E24" s="189">
        <v>0.32</v>
      </c>
      <c r="F24" s="189">
        <v>19.68</v>
      </c>
      <c r="G24" s="189">
        <v>98.34</v>
      </c>
    </row>
    <row r="25" spans="1:7">
      <c r="A25" s="247" t="s">
        <v>244</v>
      </c>
      <c r="B25" s="248"/>
      <c r="C25" s="186">
        <f>SUM(C21:C24)</f>
        <v>505</v>
      </c>
      <c r="D25" s="189"/>
      <c r="E25" s="189"/>
      <c r="F25" s="189"/>
      <c r="G25" s="189"/>
    </row>
    <row r="26" spans="1:7" ht="27.95" customHeight="1">
      <c r="A26" s="246" t="s">
        <v>237</v>
      </c>
      <c r="B26" s="246"/>
      <c r="C26" s="246"/>
      <c r="D26" s="185">
        <f>D27</f>
        <v>19.03</v>
      </c>
      <c r="E26" s="185">
        <f>E27</f>
        <v>6.46</v>
      </c>
      <c r="F26" s="185">
        <f>F27</f>
        <v>83.52</v>
      </c>
      <c r="G26" s="185">
        <f>G27</f>
        <v>489.34000000000003</v>
      </c>
    </row>
    <row r="27" spans="1:7">
      <c r="A27" s="186"/>
      <c r="B27" s="187" t="s">
        <v>66</v>
      </c>
      <c r="C27" s="186"/>
      <c r="D27" s="185">
        <f>D28+D29+D30+D31</f>
        <v>19.03</v>
      </c>
      <c r="E27" s="185">
        <f>E28+E29+E30+E31</f>
        <v>6.46</v>
      </c>
      <c r="F27" s="185">
        <f>F28+F29+F30+F31</f>
        <v>83.52</v>
      </c>
      <c r="G27" s="185">
        <f>G28+G29+G30+G31</f>
        <v>489.34000000000003</v>
      </c>
    </row>
    <row r="28" spans="1:7" ht="15" customHeight="1">
      <c r="A28" s="188" t="s">
        <v>142</v>
      </c>
      <c r="B28" s="182" t="s">
        <v>143</v>
      </c>
      <c r="C28" s="188">
        <v>60</v>
      </c>
      <c r="D28" s="189">
        <v>0.9</v>
      </c>
      <c r="E28" s="189">
        <v>0.06</v>
      </c>
      <c r="F28" s="189">
        <v>5.28</v>
      </c>
      <c r="G28" s="189">
        <v>27</v>
      </c>
    </row>
    <row r="29" spans="1:7">
      <c r="A29" s="188" t="s">
        <v>222</v>
      </c>
      <c r="B29" s="182" t="s">
        <v>144</v>
      </c>
      <c r="C29" s="188">
        <v>200</v>
      </c>
      <c r="D29" s="189">
        <v>14.09</v>
      </c>
      <c r="E29" s="189">
        <v>5.98</v>
      </c>
      <c r="F29" s="189">
        <v>27.56</v>
      </c>
      <c r="G29" s="189">
        <v>229</v>
      </c>
    </row>
    <row r="30" spans="1:7" ht="29.25" customHeight="1">
      <c r="A30" s="188" t="s">
        <v>42</v>
      </c>
      <c r="B30" s="182" t="s">
        <v>217</v>
      </c>
      <c r="C30" s="188">
        <v>200</v>
      </c>
      <c r="D30" s="189">
        <v>1</v>
      </c>
      <c r="E30" s="189">
        <v>0.1</v>
      </c>
      <c r="F30" s="189">
        <v>31</v>
      </c>
      <c r="G30" s="189">
        <v>135</v>
      </c>
    </row>
    <row r="31" spans="1:7" ht="15" customHeight="1">
      <c r="A31" s="194"/>
      <c r="B31" s="182" t="s">
        <v>11</v>
      </c>
      <c r="C31" s="188">
        <v>40</v>
      </c>
      <c r="D31" s="189">
        <v>3.04</v>
      </c>
      <c r="E31" s="189">
        <v>0.32</v>
      </c>
      <c r="F31" s="189">
        <v>19.68</v>
      </c>
      <c r="G31" s="189">
        <v>98.34</v>
      </c>
    </row>
    <row r="32" spans="1:7">
      <c r="A32" s="247" t="s">
        <v>244</v>
      </c>
      <c r="B32" s="248"/>
      <c r="C32" s="186">
        <f>SUM(C28:C31)</f>
        <v>500</v>
      </c>
      <c r="D32" s="189"/>
      <c r="E32" s="189"/>
      <c r="F32" s="189"/>
      <c r="G32" s="189"/>
    </row>
    <row r="33" spans="1:7" ht="27.95" customHeight="1">
      <c r="A33" s="246" t="s">
        <v>238</v>
      </c>
      <c r="B33" s="246"/>
      <c r="C33" s="246"/>
      <c r="D33" s="185">
        <f>D34</f>
        <v>15.93</v>
      </c>
      <c r="E33" s="185">
        <f>E34</f>
        <v>20.72</v>
      </c>
      <c r="F33" s="185">
        <f>F34</f>
        <v>79.509999999999991</v>
      </c>
      <c r="G33" s="185">
        <f>G34</f>
        <v>576.86</v>
      </c>
    </row>
    <row r="34" spans="1:7">
      <c r="A34" s="186"/>
      <c r="B34" s="187" t="s">
        <v>66</v>
      </c>
      <c r="C34" s="186"/>
      <c r="D34" s="185">
        <f>D35+D36+D37+D38</f>
        <v>15.93</v>
      </c>
      <c r="E34" s="185">
        <f>E35+E36+E37+E38</f>
        <v>20.72</v>
      </c>
      <c r="F34" s="185">
        <f>F35+F36+F37+F38</f>
        <v>79.509999999999991</v>
      </c>
      <c r="G34" s="185">
        <f>G35+G36+G37+G38</f>
        <v>576.86</v>
      </c>
    </row>
    <row r="35" spans="1:7">
      <c r="A35" s="194"/>
      <c r="B35" s="182" t="s">
        <v>41</v>
      </c>
      <c r="C35" s="188">
        <v>100</v>
      </c>
      <c r="D35" s="189">
        <v>0.4</v>
      </c>
      <c r="E35" s="189">
        <v>0</v>
      </c>
      <c r="F35" s="189">
        <v>9.8000000000000007</v>
      </c>
      <c r="G35" s="189">
        <v>42.84</v>
      </c>
    </row>
    <row r="36" spans="1:7">
      <c r="A36" s="221" t="s">
        <v>290</v>
      </c>
      <c r="B36" s="219" t="s">
        <v>294</v>
      </c>
      <c r="C36" s="218">
        <v>200</v>
      </c>
      <c r="D36" s="220">
        <v>12.49</v>
      </c>
      <c r="E36" s="220">
        <v>20.399999999999999</v>
      </c>
      <c r="F36" s="220">
        <v>40.03</v>
      </c>
      <c r="G36" s="220">
        <v>393.68</v>
      </c>
    </row>
    <row r="37" spans="1:7">
      <c r="A37" s="194" t="s">
        <v>176</v>
      </c>
      <c r="B37" s="190" t="s">
        <v>10</v>
      </c>
      <c r="C37" s="188">
        <v>200</v>
      </c>
      <c r="D37" s="189">
        <v>0</v>
      </c>
      <c r="E37" s="189">
        <v>0</v>
      </c>
      <c r="F37" s="189">
        <v>10</v>
      </c>
      <c r="G37" s="189">
        <v>42</v>
      </c>
    </row>
    <row r="38" spans="1:7" ht="15" customHeight="1">
      <c r="A38" s="188"/>
      <c r="B38" s="182" t="s">
        <v>11</v>
      </c>
      <c r="C38" s="188">
        <v>40</v>
      </c>
      <c r="D38" s="189">
        <v>3.04</v>
      </c>
      <c r="E38" s="189">
        <v>0.32</v>
      </c>
      <c r="F38" s="189">
        <v>19.68</v>
      </c>
      <c r="G38" s="189">
        <v>98.34</v>
      </c>
    </row>
    <row r="39" spans="1:7" ht="15" customHeight="1">
      <c r="A39" s="247" t="s">
        <v>244</v>
      </c>
      <c r="B39" s="248"/>
      <c r="C39" s="186">
        <f>C38+C37+C36+C35</f>
        <v>540</v>
      </c>
      <c r="D39" s="189"/>
      <c r="E39" s="189"/>
      <c r="F39" s="189"/>
      <c r="G39" s="189"/>
    </row>
    <row r="40" spans="1:7" ht="27.95" customHeight="1">
      <c r="A40" s="246" t="s">
        <v>239</v>
      </c>
      <c r="B40" s="246"/>
      <c r="C40" s="246"/>
      <c r="D40" s="185">
        <f>D41</f>
        <v>15.2</v>
      </c>
      <c r="E40" s="185">
        <f>E41</f>
        <v>15.11</v>
      </c>
      <c r="F40" s="185">
        <f>F41</f>
        <v>79.06</v>
      </c>
      <c r="G40" s="185">
        <f>G41</f>
        <v>532.43200000000002</v>
      </c>
    </row>
    <row r="41" spans="1:7">
      <c r="A41" s="186"/>
      <c r="B41" s="187" t="s">
        <v>66</v>
      </c>
      <c r="C41" s="186"/>
      <c r="D41" s="185">
        <f>D42+D43+D44+D45</f>
        <v>15.2</v>
      </c>
      <c r="E41" s="185">
        <f>E42+E43+E44+E45</f>
        <v>15.11</v>
      </c>
      <c r="F41" s="185">
        <f>F42+F43+F44+F45</f>
        <v>79.06</v>
      </c>
      <c r="G41" s="185">
        <f>G42+G43+G44+G45</f>
        <v>532.43200000000002</v>
      </c>
    </row>
    <row r="42" spans="1:7">
      <c r="A42" s="188" t="s">
        <v>221</v>
      </c>
      <c r="B42" s="182" t="s">
        <v>150</v>
      </c>
      <c r="C42" s="188">
        <v>105</v>
      </c>
      <c r="D42" s="189">
        <v>6.14</v>
      </c>
      <c r="E42" s="189">
        <v>11.91</v>
      </c>
      <c r="F42" s="189">
        <v>10.92</v>
      </c>
      <c r="G42" s="189">
        <v>178.84</v>
      </c>
    </row>
    <row r="43" spans="1:7">
      <c r="A43" s="188" t="s">
        <v>33</v>
      </c>
      <c r="B43" s="182" t="s">
        <v>12</v>
      </c>
      <c r="C43" s="188">
        <v>150</v>
      </c>
      <c r="D43" s="189">
        <v>5.64</v>
      </c>
      <c r="E43" s="189">
        <v>2.84</v>
      </c>
      <c r="F43" s="189">
        <v>36</v>
      </c>
      <c r="G43" s="189">
        <v>201</v>
      </c>
    </row>
    <row r="44" spans="1:7">
      <c r="A44" s="204" t="s">
        <v>176</v>
      </c>
      <c r="B44" s="182" t="s">
        <v>10</v>
      </c>
      <c r="C44" s="204">
        <v>200</v>
      </c>
      <c r="D44" s="189">
        <v>0</v>
      </c>
      <c r="E44" s="189">
        <v>0</v>
      </c>
      <c r="F44" s="189">
        <v>10</v>
      </c>
      <c r="G44" s="189">
        <v>42</v>
      </c>
    </row>
    <row r="45" spans="1:7" ht="13.5" customHeight="1">
      <c r="A45" s="194"/>
      <c r="B45" s="190" t="s">
        <v>11</v>
      </c>
      <c r="C45" s="194">
        <v>45</v>
      </c>
      <c r="D45" s="191">
        <v>3.42</v>
      </c>
      <c r="E45" s="191">
        <v>0.36</v>
      </c>
      <c r="F45" s="191">
        <v>22.14</v>
      </c>
      <c r="G45" s="191">
        <v>110.592</v>
      </c>
    </row>
    <row r="46" spans="1:7">
      <c r="A46" s="247" t="s">
        <v>244</v>
      </c>
      <c r="B46" s="248"/>
      <c r="C46" s="186">
        <f>SUM(C42:C45)</f>
        <v>500</v>
      </c>
      <c r="D46" s="189"/>
      <c r="E46" s="189"/>
      <c r="F46" s="189"/>
      <c r="G46" s="189"/>
    </row>
    <row r="47" spans="1:7" ht="27.95" customHeight="1">
      <c r="A47" s="246" t="s">
        <v>240</v>
      </c>
      <c r="B47" s="246"/>
      <c r="C47" s="246"/>
      <c r="D47" s="185">
        <f>D48</f>
        <v>11.64</v>
      </c>
      <c r="E47" s="185">
        <f>E48</f>
        <v>10.52</v>
      </c>
      <c r="F47" s="185">
        <f>F48</f>
        <v>89.5</v>
      </c>
      <c r="G47" s="185">
        <f>G48</f>
        <v>519.5</v>
      </c>
    </row>
    <row r="48" spans="1:7">
      <c r="A48" s="186"/>
      <c r="B48" s="187" t="s">
        <v>66</v>
      </c>
      <c r="C48" s="186"/>
      <c r="D48" s="185">
        <f>D49+D50+D51+D52</f>
        <v>11.64</v>
      </c>
      <c r="E48" s="185">
        <f>E49+E50+E51+E52</f>
        <v>10.52</v>
      </c>
      <c r="F48" s="185">
        <f>F49+F50+F51+F52</f>
        <v>89.5</v>
      </c>
      <c r="G48" s="185">
        <f>G49+G50+G52+G51</f>
        <v>519.5</v>
      </c>
    </row>
    <row r="49" spans="1:25">
      <c r="A49" s="188"/>
      <c r="B49" s="182" t="s">
        <v>41</v>
      </c>
      <c r="C49" s="188">
        <v>100</v>
      </c>
      <c r="D49" s="189">
        <v>0.4</v>
      </c>
      <c r="E49" s="189">
        <v>0</v>
      </c>
      <c r="F49" s="189">
        <v>9.8000000000000007</v>
      </c>
      <c r="G49" s="189">
        <v>42.84</v>
      </c>
    </row>
    <row r="50" spans="1:25" ht="24.75" customHeight="1">
      <c r="A50" s="188" t="s">
        <v>174</v>
      </c>
      <c r="B50" s="182" t="s">
        <v>198</v>
      </c>
      <c r="C50" s="188">
        <v>203</v>
      </c>
      <c r="D50" s="189">
        <v>8.1999999999999993</v>
      </c>
      <c r="E50" s="189">
        <v>10.199999999999999</v>
      </c>
      <c r="F50" s="189">
        <v>50.02</v>
      </c>
      <c r="G50" s="189">
        <v>336.32</v>
      </c>
      <c r="H50" s="192"/>
      <c r="I50" s="192"/>
      <c r="J50" s="192"/>
      <c r="K50" s="192"/>
      <c r="L50" s="192"/>
      <c r="M50" s="193"/>
      <c r="N50" s="192"/>
      <c r="O50" s="192"/>
      <c r="P50" s="192"/>
      <c r="Q50" s="192"/>
      <c r="R50" s="192"/>
    </row>
    <row r="51" spans="1:25" ht="12" customHeight="1">
      <c r="A51" s="194" t="s">
        <v>176</v>
      </c>
      <c r="B51" s="182" t="s">
        <v>10</v>
      </c>
      <c r="C51" s="188">
        <v>200</v>
      </c>
      <c r="D51" s="189">
        <v>0</v>
      </c>
      <c r="E51" s="189">
        <v>0</v>
      </c>
      <c r="F51" s="189">
        <v>10</v>
      </c>
      <c r="G51" s="189">
        <v>42</v>
      </c>
      <c r="H51" s="192"/>
      <c r="I51" s="192"/>
      <c r="J51" s="192"/>
      <c r="K51" s="192"/>
      <c r="L51" s="192"/>
      <c r="M51" s="193"/>
      <c r="N51" s="192"/>
      <c r="O51" s="192"/>
      <c r="P51" s="192"/>
      <c r="Q51" s="192"/>
      <c r="R51" s="192"/>
    </row>
    <row r="52" spans="1:25">
      <c r="A52" s="204"/>
      <c r="B52" s="182" t="s">
        <v>11</v>
      </c>
      <c r="C52" s="188">
        <v>40</v>
      </c>
      <c r="D52" s="189">
        <v>3.04</v>
      </c>
      <c r="E52" s="189">
        <v>0.32</v>
      </c>
      <c r="F52" s="189">
        <v>19.68</v>
      </c>
      <c r="G52" s="189">
        <v>98.34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</row>
    <row r="53" spans="1:25">
      <c r="A53" s="247" t="s">
        <v>244</v>
      </c>
      <c r="B53" s="248"/>
      <c r="C53" s="205">
        <f>C52+C51+C50+C49</f>
        <v>543</v>
      </c>
      <c r="D53" s="191"/>
      <c r="E53" s="191"/>
      <c r="F53" s="191"/>
      <c r="G53" s="191"/>
    </row>
    <row r="54" spans="1:25" ht="27.95" customHeight="1">
      <c r="A54" s="246" t="s">
        <v>64</v>
      </c>
      <c r="B54" s="246"/>
      <c r="C54" s="246"/>
      <c r="D54" s="185">
        <f>D55</f>
        <v>20.170000000000002</v>
      </c>
      <c r="E54" s="185">
        <f>E55</f>
        <v>13.51</v>
      </c>
      <c r="F54" s="185">
        <f>F55</f>
        <v>95.15</v>
      </c>
      <c r="G54" s="185">
        <f>G55</f>
        <v>606.51599999999996</v>
      </c>
    </row>
    <row r="55" spans="1:25">
      <c r="A55" s="186"/>
      <c r="B55" s="187" t="s">
        <v>66</v>
      </c>
      <c r="C55" s="186"/>
      <c r="D55" s="185">
        <f>D56+D57+D58+D59+D60</f>
        <v>20.170000000000002</v>
      </c>
      <c r="E55" s="185">
        <f>E56+E57+E58+E59+E60</f>
        <v>13.51</v>
      </c>
      <c r="F55" s="185">
        <f>F56+F57+F58+F59+F60</f>
        <v>95.15</v>
      </c>
      <c r="G55" s="185">
        <f>G56+G57+G58+G59+G60</f>
        <v>606.51599999999996</v>
      </c>
    </row>
    <row r="56" spans="1:25" ht="17.25" customHeight="1">
      <c r="A56" s="221" t="s">
        <v>295</v>
      </c>
      <c r="B56" s="219" t="s">
        <v>296</v>
      </c>
      <c r="C56" s="218">
        <v>100</v>
      </c>
      <c r="D56" s="220">
        <v>11.81</v>
      </c>
      <c r="E56" s="220">
        <v>8.11</v>
      </c>
      <c r="F56" s="220">
        <v>4.87</v>
      </c>
      <c r="G56" s="220">
        <v>143.05000000000001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</row>
    <row r="57" spans="1:25" ht="13.5" customHeight="1">
      <c r="A57" s="194" t="s">
        <v>183</v>
      </c>
      <c r="B57" s="182" t="s">
        <v>157</v>
      </c>
      <c r="C57" s="188">
        <v>150</v>
      </c>
      <c r="D57" s="189">
        <v>3.81</v>
      </c>
      <c r="E57" s="189">
        <v>2.72</v>
      </c>
      <c r="F57" s="189">
        <v>40</v>
      </c>
      <c r="G57" s="189">
        <v>208.48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</row>
    <row r="58" spans="1:25" ht="14.25" customHeight="1">
      <c r="A58" s="194"/>
      <c r="B58" s="182" t="s">
        <v>62</v>
      </c>
      <c r="C58" s="188">
        <v>20</v>
      </c>
      <c r="D58" s="189">
        <v>1.5</v>
      </c>
      <c r="E58" s="189">
        <v>2.36</v>
      </c>
      <c r="F58" s="189">
        <v>14.98</v>
      </c>
      <c r="G58" s="189">
        <v>91</v>
      </c>
      <c r="H58" s="195"/>
      <c r="I58" s="183"/>
      <c r="J58" s="195"/>
      <c r="K58" s="195"/>
      <c r="L58" s="183"/>
      <c r="M58" s="195"/>
      <c r="N58" s="195"/>
      <c r="O58" s="183"/>
      <c r="P58" s="195"/>
      <c r="Q58" s="195"/>
      <c r="R58" s="195"/>
      <c r="S58" s="195"/>
      <c r="T58" s="195"/>
      <c r="U58" s="195"/>
      <c r="V58" s="195"/>
      <c r="W58" s="195"/>
      <c r="X58" s="195"/>
      <c r="Y58" s="195"/>
    </row>
    <row r="59" spans="1:25" ht="14.25" customHeight="1">
      <c r="A59" s="194" t="s">
        <v>223</v>
      </c>
      <c r="B59" s="182" t="s">
        <v>158</v>
      </c>
      <c r="C59" s="188">
        <v>200</v>
      </c>
      <c r="D59" s="189">
        <v>0.01</v>
      </c>
      <c r="E59" s="189"/>
      <c r="F59" s="189">
        <v>15.62</v>
      </c>
      <c r="G59" s="189">
        <v>65.646000000000001</v>
      </c>
      <c r="H59" s="195"/>
      <c r="I59" s="183"/>
      <c r="J59" s="195"/>
      <c r="K59" s="195"/>
      <c r="L59" s="183"/>
      <c r="M59" s="195"/>
      <c r="N59" s="195"/>
      <c r="O59" s="183"/>
      <c r="P59" s="195"/>
      <c r="Q59" s="195"/>
      <c r="R59" s="195"/>
      <c r="S59" s="195"/>
      <c r="T59" s="195"/>
      <c r="U59" s="195"/>
      <c r="V59" s="195"/>
      <c r="W59" s="195"/>
      <c r="X59" s="195"/>
      <c r="Y59" s="195"/>
    </row>
    <row r="60" spans="1:25" ht="14.25" customHeight="1">
      <c r="A60" s="188"/>
      <c r="B60" s="182" t="s">
        <v>11</v>
      </c>
      <c r="C60" s="188">
        <v>40</v>
      </c>
      <c r="D60" s="189">
        <v>3.04</v>
      </c>
      <c r="E60" s="189">
        <v>0.32</v>
      </c>
      <c r="F60" s="189">
        <v>19.68</v>
      </c>
      <c r="G60" s="189">
        <v>98.34</v>
      </c>
      <c r="H60" s="195"/>
      <c r="I60" s="196"/>
      <c r="J60" s="195"/>
      <c r="K60" s="195"/>
      <c r="L60" s="196"/>
      <c r="M60" s="183"/>
      <c r="N60" s="183"/>
      <c r="O60" s="183"/>
      <c r="P60" s="183"/>
      <c r="Q60" s="183"/>
      <c r="R60" s="183"/>
      <c r="S60" s="183"/>
      <c r="T60" s="183"/>
      <c r="U60" s="183"/>
      <c r="V60" s="195"/>
      <c r="W60" s="183"/>
      <c r="X60" s="183"/>
      <c r="Y60" s="196"/>
    </row>
    <row r="61" spans="1:25" ht="17.25" customHeight="1">
      <c r="A61" s="247" t="s">
        <v>244</v>
      </c>
      <c r="B61" s="248"/>
      <c r="C61" s="205">
        <f>C60+C59+C58+C57+C56</f>
        <v>510</v>
      </c>
      <c r="D61" s="191"/>
      <c r="E61" s="191"/>
      <c r="F61" s="191"/>
      <c r="G61" s="191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</row>
    <row r="62" spans="1:25" ht="27.95" customHeight="1">
      <c r="A62" s="246" t="s">
        <v>241</v>
      </c>
      <c r="B62" s="246"/>
      <c r="C62" s="246"/>
      <c r="D62" s="185">
        <f>D63</f>
        <v>17.759999999999998</v>
      </c>
      <c r="E62" s="185">
        <f>E63</f>
        <v>14.36</v>
      </c>
      <c r="F62" s="185">
        <f>F63</f>
        <v>71.47999999999999</v>
      </c>
      <c r="G62" s="185">
        <f>G63</f>
        <v>504.63599999999997</v>
      </c>
    </row>
    <row r="63" spans="1:25">
      <c r="A63" s="186"/>
      <c r="B63" s="187" t="s">
        <v>66</v>
      </c>
      <c r="C63" s="186"/>
      <c r="D63" s="185">
        <f>D64+D65+D66+D67</f>
        <v>17.759999999999998</v>
      </c>
      <c r="E63" s="185">
        <f>E64+E65+E66+E67</f>
        <v>14.36</v>
      </c>
      <c r="F63" s="185">
        <f>F64+F65+F66+F67</f>
        <v>71.47999999999999</v>
      </c>
      <c r="G63" s="185">
        <f>G64+G65+G66+G67</f>
        <v>504.63599999999997</v>
      </c>
    </row>
    <row r="64" spans="1:25" ht="25.5">
      <c r="A64" s="188" t="s">
        <v>224</v>
      </c>
      <c r="B64" s="182" t="s">
        <v>162</v>
      </c>
      <c r="C64" s="188">
        <v>110</v>
      </c>
      <c r="D64" s="189">
        <v>9.08</v>
      </c>
      <c r="E64" s="189">
        <v>11.2</v>
      </c>
      <c r="F64" s="189">
        <v>5.8</v>
      </c>
      <c r="G64" s="189">
        <v>163.29599999999999</v>
      </c>
    </row>
    <row r="65" spans="1:26">
      <c r="A65" s="188" t="s">
        <v>33</v>
      </c>
      <c r="B65" s="182" t="s">
        <v>12</v>
      </c>
      <c r="C65" s="188">
        <v>150</v>
      </c>
      <c r="D65" s="189">
        <v>5.64</v>
      </c>
      <c r="E65" s="189">
        <v>2.84</v>
      </c>
      <c r="F65" s="189">
        <v>36</v>
      </c>
      <c r="G65" s="189">
        <v>201</v>
      </c>
    </row>
    <row r="66" spans="1:26">
      <c r="A66" s="194" t="s">
        <v>176</v>
      </c>
      <c r="B66" s="182" t="s">
        <v>10</v>
      </c>
      <c r="C66" s="204">
        <v>200</v>
      </c>
      <c r="D66" s="189">
        <v>0</v>
      </c>
      <c r="E66" s="189">
        <v>0</v>
      </c>
      <c r="F66" s="189">
        <v>10</v>
      </c>
      <c r="G66" s="189">
        <v>42</v>
      </c>
    </row>
    <row r="67" spans="1:26">
      <c r="A67" s="194"/>
      <c r="B67" s="190" t="s">
        <v>11</v>
      </c>
      <c r="C67" s="194">
        <v>40</v>
      </c>
      <c r="D67" s="191">
        <v>3.04</v>
      </c>
      <c r="E67" s="191">
        <v>0.32</v>
      </c>
      <c r="F67" s="191">
        <v>19.68</v>
      </c>
      <c r="G67" s="191">
        <v>98.34</v>
      </c>
    </row>
    <row r="68" spans="1:26">
      <c r="A68" s="247" t="s">
        <v>244</v>
      </c>
      <c r="B68" s="248"/>
      <c r="C68" s="206">
        <f>SUM(C64:C67)</f>
        <v>500</v>
      </c>
      <c r="D68" s="189"/>
      <c r="E68" s="189"/>
      <c r="F68" s="189"/>
      <c r="G68" s="189"/>
    </row>
    <row r="69" spans="1:26" ht="27.95" customHeight="1">
      <c r="A69" s="246" t="s">
        <v>242</v>
      </c>
      <c r="B69" s="246"/>
      <c r="C69" s="246"/>
      <c r="D69" s="185">
        <f>D70</f>
        <v>28.65</v>
      </c>
      <c r="E69" s="185">
        <f>E70</f>
        <v>11.989999999999998</v>
      </c>
      <c r="F69" s="185">
        <f>F70</f>
        <v>73.56</v>
      </c>
      <c r="G69" s="185">
        <f>G70</f>
        <v>537.27199999999993</v>
      </c>
    </row>
    <row r="70" spans="1:26">
      <c r="A70" s="186"/>
      <c r="B70" s="187" t="s">
        <v>66</v>
      </c>
      <c r="C70" s="186"/>
      <c r="D70" s="185">
        <f>D71+D72+D73+D74+D75</f>
        <v>28.65</v>
      </c>
      <c r="E70" s="185">
        <f>E71+E72+E73+E74+E75</f>
        <v>11.989999999999998</v>
      </c>
      <c r="F70" s="185">
        <f>F71+F72+F73+F74+F75</f>
        <v>73.56</v>
      </c>
      <c r="G70" s="185">
        <f>G71+G72+G73+G74+G75</f>
        <v>537.27199999999993</v>
      </c>
    </row>
    <row r="71" spans="1:26" ht="15" customHeight="1">
      <c r="A71" s="188"/>
      <c r="B71" s="182" t="s">
        <v>166</v>
      </c>
      <c r="C71" s="188">
        <v>40</v>
      </c>
      <c r="D71" s="189">
        <v>5.08</v>
      </c>
      <c r="E71" s="189">
        <v>4.5999999999999996</v>
      </c>
      <c r="F71" s="189">
        <v>0.28000000000000003</v>
      </c>
      <c r="G71" s="189">
        <v>63.911999999999999</v>
      </c>
    </row>
    <row r="72" spans="1:26" ht="25.5">
      <c r="A72" s="188" t="s">
        <v>39</v>
      </c>
      <c r="B72" s="208" t="s">
        <v>254</v>
      </c>
      <c r="C72" s="197">
        <v>120</v>
      </c>
      <c r="D72" s="198">
        <f>18.92+0.06</f>
        <v>18.98</v>
      </c>
      <c r="E72" s="198">
        <f>7.01+0.06</f>
        <v>7.0699999999999994</v>
      </c>
      <c r="F72" s="198">
        <f>15+16.77</f>
        <v>31.77</v>
      </c>
      <c r="G72" s="198">
        <v>276.77999999999997</v>
      </c>
    </row>
    <row r="73" spans="1:26">
      <c r="A73" s="188"/>
      <c r="B73" s="182" t="s">
        <v>41</v>
      </c>
      <c r="C73" s="188">
        <v>100</v>
      </c>
      <c r="D73" s="189">
        <v>0.4</v>
      </c>
      <c r="E73" s="189">
        <v>0</v>
      </c>
      <c r="F73" s="189">
        <v>9.8000000000000007</v>
      </c>
      <c r="G73" s="189">
        <v>42.84</v>
      </c>
    </row>
    <row r="74" spans="1:26">
      <c r="A74" s="188" t="s">
        <v>42</v>
      </c>
      <c r="B74" s="182" t="s">
        <v>216</v>
      </c>
      <c r="C74" s="188">
        <v>200</v>
      </c>
      <c r="D74" s="189">
        <v>1.1499999999999999</v>
      </c>
      <c r="E74" s="189"/>
      <c r="F74" s="189">
        <v>12.03</v>
      </c>
      <c r="G74" s="189">
        <v>55.4</v>
      </c>
    </row>
    <row r="75" spans="1:26">
      <c r="A75" s="194"/>
      <c r="B75" s="190" t="s">
        <v>11</v>
      </c>
      <c r="C75" s="194">
        <v>40</v>
      </c>
      <c r="D75" s="191">
        <v>3.04</v>
      </c>
      <c r="E75" s="191">
        <v>0.32</v>
      </c>
      <c r="F75" s="191">
        <v>19.68</v>
      </c>
      <c r="G75" s="191">
        <v>98.34</v>
      </c>
    </row>
    <row r="76" spans="1:26">
      <c r="A76" s="247" t="s">
        <v>244</v>
      </c>
      <c r="B76" s="248"/>
      <c r="C76" s="186">
        <f>SUM(C71:C75)</f>
        <v>500</v>
      </c>
      <c r="D76" s="189"/>
      <c r="E76" s="189"/>
      <c r="F76" s="189"/>
      <c r="G76" s="189"/>
    </row>
    <row r="77" spans="1:26" ht="27.95" customHeight="1">
      <c r="A77" s="246" t="s">
        <v>243</v>
      </c>
      <c r="B77" s="246"/>
      <c r="C77" s="246"/>
      <c r="D77" s="185">
        <f>D78</f>
        <v>24.859999999999996</v>
      </c>
      <c r="E77" s="185">
        <f>E78</f>
        <v>13.040000000000001</v>
      </c>
      <c r="F77" s="185">
        <f>F78</f>
        <v>74.819999999999993</v>
      </c>
      <c r="G77" s="185">
        <f>G78</f>
        <v>536.82000000000005</v>
      </c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200"/>
    </row>
    <row r="78" spans="1:26">
      <c r="A78" s="186"/>
      <c r="B78" s="187" t="s">
        <v>66</v>
      </c>
      <c r="C78" s="186"/>
      <c r="D78" s="185">
        <f>D79+D80+D81+D82+D83</f>
        <v>24.859999999999996</v>
      </c>
      <c r="E78" s="185">
        <f>E79+E80+E81+E82+E83</f>
        <v>13.040000000000001</v>
      </c>
      <c r="F78" s="185">
        <f>F79+F80+F81+F82+F83</f>
        <v>74.819999999999993</v>
      </c>
      <c r="G78" s="185">
        <f>G79+G80+G81+G82+G83</f>
        <v>536.82000000000005</v>
      </c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200"/>
    </row>
    <row r="79" spans="1:26">
      <c r="A79" s="188" t="s">
        <v>225</v>
      </c>
      <c r="B79" s="182" t="s">
        <v>168</v>
      </c>
      <c r="C79" s="188">
        <v>100</v>
      </c>
      <c r="D79" s="189">
        <v>17.829999999999998</v>
      </c>
      <c r="E79" s="189">
        <v>7.99</v>
      </c>
      <c r="F79" s="189">
        <v>4.25</v>
      </c>
      <c r="G79" s="189">
        <v>165</v>
      </c>
      <c r="H79" s="195"/>
      <c r="I79" s="195"/>
      <c r="J79" s="195"/>
      <c r="K79" s="195"/>
      <c r="L79" s="195"/>
      <c r="M79" s="195"/>
      <c r="N79" s="195"/>
      <c r="O79" s="183"/>
      <c r="P79" s="195"/>
      <c r="Q79" s="195"/>
      <c r="R79" s="195"/>
      <c r="S79" s="195"/>
      <c r="T79" s="195"/>
      <c r="U79" s="195"/>
      <c r="V79" s="195"/>
      <c r="W79" s="195"/>
      <c r="X79" s="195"/>
      <c r="Y79" s="195"/>
    </row>
    <row r="80" spans="1:26">
      <c r="A80" s="188" t="s">
        <v>183</v>
      </c>
      <c r="B80" s="182" t="s">
        <v>157</v>
      </c>
      <c r="C80" s="188">
        <v>150</v>
      </c>
      <c r="D80" s="189">
        <v>3.81</v>
      </c>
      <c r="E80" s="189">
        <v>2.72</v>
      </c>
      <c r="F80" s="189">
        <v>40</v>
      </c>
      <c r="G80" s="189">
        <v>208.48</v>
      </c>
      <c r="H80" s="195"/>
      <c r="I80" s="195"/>
      <c r="J80" s="195"/>
      <c r="K80" s="195"/>
      <c r="L80" s="195"/>
      <c r="M80" s="183"/>
      <c r="N80" s="183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</row>
    <row r="81" spans="1:25">
      <c r="A81" s="204" t="s">
        <v>185</v>
      </c>
      <c r="B81" s="182" t="s">
        <v>169</v>
      </c>
      <c r="C81" s="188">
        <v>20</v>
      </c>
      <c r="D81" s="189">
        <v>0.18</v>
      </c>
      <c r="E81" s="189">
        <v>2.0099999999999998</v>
      </c>
      <c r="F81" s="189">
        <v>0.89</v>
      </c>
      <c r="G81" s="189">
        <v>23</v>
      </c>
      <c r="H81" s="195"/>
      <c r="I81" s="183"/>
      <c r="J81" s="195"/>
      <c r="K81" s="195"/>
      <c r="L81" s="195"/>
      <c r="M81" s="195"/>
      <c r="N81" s="195"/>
      <c r="O81" s="183"/>
      <c r="P81" s="183"/>
      <c r="Q81" s="183"/>
      <c r="R81" s="183"/>
      <c r="S81" s="183"/>
      <c r="T81" s="183"/>
      <c r="U81" s="183"/>
      <c r="V81" s="195"/>
      <c r="W81" s="183"/>
      <c r="X81" s="183"/>
      <c r="Y81" s="195"/>
    </row>
    <row r="82" spans="1:25">
      <c r="A82" s="194" t="s">
        <v>176</v>
      </c>
      <c r="B82" s="182" t="s">
        <v>10</v>
      </c>
      <c r="C82" s="204">
        <v>200</v>
      </c>
      <c r="D82" s="189">
        <v>0</v>
      </c>
      <c r="E82" s="189">
        <v>0</v>
      </c>
      <c r="F82" s="189">
        <v>10</v>
      </c>
      <c r="G82" s="189">
        <v>42</v>
      </c>
      <c r="H82" s="195"/>
      <c r="I82" s="183"/>
      <c r="J82" s="195"/>
      <c r="K82" s="195"/>
      <c r="L82" s="195"/>
      <c r="M82" s="195"/>
      <c r="N82" s="195"/>
      <c r="O82" s="183"/>
      <c r="P82" s="183"/>
      <c r="Q82" s="183"/>
      <c r="R82" s="183"/>
      <c r="S82" s="183"/>
      <c r="T82" s="183"/>
      <c r="U82" s="183"/>
      <c r="V82" s="195"/>
      <c r="W82" s="183"/>
      <c r="X82" s="183"/>
      <c r="Y82" s="195"/>
    </row>
    <row r="83" spans="1:25">
      <c r="A83" s="194"/>
      <c r="B83" s="190" t="s">
        <v>11</v>
      </c>
      <c r="C83" s="194">
        <v>40</v>
      </c>
      <c r="D83" s="191">
        <v>3.04</v>
      </c>
      <c r="E83" s="191">
        <v>0.32</v>
      </c>
      <c r="F83" s="191">
        <v>19.68</v>
      </c>
      <c r="G83" s="191">
        <v>98.34</v>
      </c>
      <c r="H83" s="195"/>
      <c r="I83" s="196"/>
      <c r="J83" s="195"/>
      <c r="K83" s="195"/>
      <c r="L83" s="196"/>
      <c r="M83" s="183"/>
      <c r="N83" s="183"/>
      <c r="O83" s="183"/>
      <c r="P83" s="183"/>
      <c r="Q83" s="183"/>
      <c r="R83" s="183"/>
      <c r="S83" s="183"/>
      <c r="T83" s="183"/>
      <c r="U83" s="183"/>
      <c r="V83" s="195"/>
      <c r="W83" s="183"/>
      <c r="X83" s="183"/>
      <c r="Y83" s="196"/>
    </row>
    <row r="84" spans="1:25">
      <c r="A84" s="247" t="s">
        <v>244</v>
      </c>
      <c r="B84" s="248"/>
      <c r="C84" s="206">
        <f>SUM(C79:C83)</f>
        <v>510</v>
      </c>
      <c r="D84" s="188"/>
      <c r="E84" s="188"/>
      <c r="F84" s="188"/>
      <c r="G84" s="188"/>
      <c r="H84" s="201"/>
      <c r="I84" s="202"/>
      <c r="J84" s="201"/>
      <c r="K84" s="201"/>
      <c r="L84" s="201"/>
      <c r="M84" s="203"/>
      <c r="N84" s="203"/>
      <c r="O84" s="202"/>
      <c r="P84" s="202"/>
      <c r="Q84" s="202"/>
      <c r="R84" s="202"/>
      <c r="S84" s="202"/>
      <c r="T84" s="202"/>
      <c r="U84" s="202"/>
      <c r="V84" s="203"/>
      <c r="W84" s="202"/>
      <c r="X84" s="202"/>
      <c r="Y84" s="203"/>
    </row>
    <row r="85" spans="1:25">
      <c r="A85" s="255" t="s">
        <v>255</v>
      </c>
      <c r="B85" s="255"/>
      <c r="C85" s="255"/>
      <c r="D85" s="215">
        <f>D86</f>
        <v>17.190000000000001</v>
      </c>
      <c r="E85" s="215">
        <f>E86</f>
        <v>20.77</v>
      </c>
      <c r="F85" s="215">
        <f>F86</f>
        <v>96.19</v>
      </c>
      <c r="G85" s="215">
        <f>G86</f>
        <v>664.29000000000008</v>
      </c>
    </row>
    <row r="86" spans="1:25">
      <c r="A86" s="216"/>
      <c r="B86" s="217" t="s">
        <v>66</v>
      </c>
      <c r="C86" s="216"/>
      <c r="D86" s="215">
        <f>D87+D88+D89+D90+D91+D92</f>
        <v>17.190000000000001</v>
      </c>
      <c r="E86" s="215">
        <f>E87+E88+E89+E90+E91+E92</f>
        <v>20.77</v>
      </c>
      <c r="F86" s="215">
        <f>F87+F88+F89+F90+F91+F92</f>
        <v>96.19</v>
      </c>
      <c r="G86" s="215">
        <f>G87+G88+G89+G90+G91+G92</f>
        <v>664.29000000000008</v>
      </c>
    </row>
    <row r="87" spans="1:25">
      <c r="A87" s="218" t="s">
        <v>175</v>
      </c>
      <c r="B87" s="219" t="s">
        <v>35</v>
      </c>
      <c r="C87" s="218">
        <v>10</v>
      </c>
      <c r="D87" s="220">
        <v>2.6</v>
      </c>
      <c r="E87" s="220">
        <v>2.65</v>
      </c>
      <c r="F87" s="220">
        <v>0.35</v>
      </c>
      <c r="G87" s="220">
        <v>36.24</v>
      </c>
    </row>
    <row r="88" spans="1:25">
      <c r="A88" s="218" t="s">
        <v>173</v>
      </c>
      <c r="B88" s="219" t="s">
        <v>136</v>
      </c>
      <c r="C88" s="218">
        <v>5</v>
      </c>
      <c r="D88" s="220">
        <v>0.05</v>
      </c>
      <c r="E88" s="220">
        <v>3.63</v>
      </c>
      <c r="F88" s="220">
        <v>7.0000000000000007E-2</v>
      </c>
      <c r="G88" s="220">
        <v>33.11</v>
      </c>
    </row>
    <row r="89" spans="1:25" ht="25.5">
      <c r="A89" s="218" t="s">
        <v>174</v>
      </c>
      <c r="B89" s="219" t="s">
        <v>201</v>
      </c>
      <c r="C89" s="218">
        <v>205</v>
      </c>
      <c r="D89" s="220">
        <v>8.5</v>
      </c>
      <c r="E89" s="220">
        <v>9.4499999999999993</v>
      </c>
      <c r="F89" s="220">
        <v>36.130000000000003</v>
      </c>
      <c r="G89" s="220">
        <v>272.60000000000002</v>
      </c>
    </row>
    <row r="90" spans="1:25">
      <c r="A90" s="218"/>
      <c r="B90" s="219" t="s">
        <v>62</v>
      </c>
      <c r="C90" s="218">
        <v>40</v>
      </c>
      <c r="D90" s="220">
        <v>3</v>
      </c>
      <c r="E90" s="220">
        <v>4.72</v>
      </c>
      <c r="F90" s="220">
        <v>29.96</v>
      </c>
      <c r="G90" s="220">
        <v>182</v>
      </c>
    </row>
    <row r="91" spans="1:25">
      <c r="A91" s="221" t="s">
        <v>176</v>
      </c>
      <c r="B91" s="219" t="s">
        <v>10</v>
      </c>
      <c r="C91" s="222">
        <v>200</v>
      </c>
      <c r="D91" s="220">
        <v>0</v>
      </c>
      <c r="E91" s="220">
        <v>0</v>
      </c>
      <c r="F91" s="220">
        <v>10</v>
      </c>
      <c r="G91" s="220">
        <v>42</v>
      </c>
    </row>
    <row r="92" spans="1:25">
      <c r="A92" s="218"/>
      <c r="B92" s="219" t="s">
        <v>11</v>
      </c>
      <c r="C92" s="218">
        <v>40</v>
      </c>
      <c r="D92" s="220">
        <v>3.04</v>
      </c>
      <c r="E92" s="220">
        <v>0.32</v>
      </c>
      <c r="F92" s="220">
        <v>19.68</v>
      </c>
      <c r="G92" s="220">
        <v>98.34</v>
      </c>
    </row>
    <row r="93" spans="1:25">
      <c r="A93" s="253" t="s">
        <v>244</v>
      </c>
      <c r="B93" s="254"/>
      <c r="C93" s="223">
        <f>SUM(C87:C92)</f>
        <v>500</v>
      </c>
      <c r="D93" s="224"/>
      <c r="E93" s="224"/>
      <c r="F93" s="224"/>
      <c r="G93" s="224"/>
    </row>
    <row r="94" spans="1:25">
      <c r="A94" s="255" t="s">
        <v>256</v>
      </c>
      <c r="B94" s="255"/>
      <c r="C94" s="255"/>
      <c r="D94" s="215">
        <f>D95</f>
        <v>24.979999999999997</v>
      </c>
      <c r="E94" s="215">
        <f>E95</f>
        <v>17.579999999999998</v>
      </c>
      <c r="F94" s="215">
        <f>F95</f>
        <v>88.259999999999991</v>
      </c>
      <c r="G94" s="215">
        <f>G95</f>
        <v>634.74</v>
      </c>
    </row>
    <row r="95" spans="1:25">
      <c r="A95" s="216"/>
      <c r="B95" s="217" t="s">
        <v>66</v>
      </c>
      <c r="C95" s="216"/>
      <c r="D95" s="215">
        <f>D96+D97+D98+D99+D100</f>
        <v>24.979999999999997</v>
      </c>
      <c r="E95" s="215">
        <f>E96+E97+E98+E99+E100</f>
        <v>17.579999999999998</v>
      </c>
      <c r="F95" s="215">
        <f>F96+F97+F98+F99+F100</f>
        <v>88.259999999999991</v>
      </c>
      <c r="G95" s="215">
        <f>G96+G97+G98+G99+G100</f>
        <v>634.74</v>
      </c>
    </row>
    <row r="96" spans="1:25">
      <c r="A96" s="221" t="s">
        <v>131</v>
      </c>
      <c r="B96" s="225" t="s">
        <v>146</v>
      </c>
      <c r="C96" s="218">
        <v>90</v>
      </c>
      <c r="D96" s="220">
        <v>11.84</v>
      </c>
      <c r="E96" s="220">
        <v>10.06</v>
      </c>
      <c r="F96" s="220">
        <v>16.03</v>
      </c>
      <c r="G96" s="220">
        <v>208</v>
      </c>
    </row>
    <row r="97" spans="1:7">
      <c r="A97" s="221" t="s">
        <v>38</v>
      </c>
      <c r="B97" s="225" t="s">
        <v>36</v>
      </c>
      <c r="C97" s="218">
        <v>150</v>
      </c>
      <c r="D97" s="220">
        <v>8.77</v>
      </c>
      <c r="E97" s="220">
        <v>5.19</v>
      </c>
      <c r="F97" s="220">
        <v>39.630000000000003</v>
      </c>
      <c r="G97" s="220">
        <v>250</v>
      </c>
    </row>
    <row r="98" spans="1:7">
      <c r="A98" s="222" t="s">
        <v>185</v>
      </c>
      <c r="B98" s="219" t="s">
        <v>169</v>
      </c>
      <c r="C98" s="218">
        <v>20</v>
      </c>
      <c r="D98" s="220">
        <v>0.18</v>
      </c>
      <c r="E98" s="220">
        <v>2.0099999999999998</v>
      </c>
      <c r="F98" s="220">
        <v>0.89</v>
      </c>
      <c r="G98" s="220">
        <v>23</v>
      </c>
    </row>
    <row r="99" spans="1:7">
      <c r="A99" s="188" t="s">
        <v>42</v>
      </c>
      <c r="B99" s="182" t="s">
        <v>216</v>
      </c>
      <c r="C99" s="188">
        <v>200</v>
      </c>
      <c r="D99" s="189">
        <v>1.1499999999999999</v>
      </c>
      <c r="E99" s="189"/>
      <c r="F99" s="189">
        <v>12.03</v>
      </c>
      <c r="G99" s="189">
        <v>55.4</v>
      </c>
    </row>
    <row r="100" spans="1:7">
      <c r="A100" s="218"/>
      <c r="B100" s="219" t="s">
        <v>11</v>
      </c>
      <c r="C100" s="218">
        <v>40</v>
      </c>
      <c r="D100" s="220">
        <v>3.04</v>
      </c>
      <c r="E100" s="220">
        <v>0.32</v>
      </c>
      <c r="F100" s="220">
        <v>19.68</v>
      </c>
      <c r="G100" s="220">
        <v>98.34</v>
      </c>
    </row>
    <row r="101" spans="1:7">
      <c r="A101" s="253" t="s">
        <v>244</v>
      </c>
      <c r="B101" s="254"/>
      <c r="C101" s="216">
        <f>SUM(C96:C100)</f>
        <v>500</v>
      </c>
      <c r="D101" s="220"/>
      <c r="E101" s="220"/>
      <c r="F101" s="220"/>
      <c r="G101" s="220"/>
    </row>
    <row r="102" spans="1:7">
      <c r="A102" s="255" t="s">
        <v>257</v>
      </c>
      <c r="B102" s="255"/>
      <c r="C102" s="255"/>
      <c r="D102" s="215">
        <f>D103</f>
        <v>19.12</v>
      </c>
      <c r="E102" s="215">
        <f>E103</f>
        <v>26.980000000000004</v>
      </c>
      <c r="F102" s="215">
        <f>F103</f>
        <v>63.43</v>
      </c>
      <c r="G102" s="215">
        <f>G103</f>
        <v>585.66000000000008</v>
      </c>
    </row>
    <row r="103" spans="1:7">
      <c r="A103" s="216"/>
      <c r="B103" s="217" t="s">
        <v>66</v>
      </c>
      <c r="C103" s="216"/>
      <c r="D103" s="215">
        <f>D104+D105+D106+D107+D108</f>
        <v>19.12</v>
      </c>
      <c r="E103" s="215">
        <f>E104+E105+E106+E107+E108</f>
        <v>26.980000000000004</v>
      </c>
      <c r="F103" s="215">
        <f>F104+F105+F106+F107+F108</f>
        <v>63.43</v>
      </c>
      <c r="G103" s="215">
        <f>G104+G105+G106+G107+G108</f>
        <v>585.66000000000008</v>
      </c>
    </row>
    <row r="104" spans="1:7">
      <c r="A104" s="221"/>
      <c r="B104" s="219" t="s">
        <v>41</v>
      </c>
      <c r="C104" s="218">
        <v>100</v>
      </c>
      <c r="D104" s="220">
        <v>0.4</v>
      </c>
      <c r="E104" s="220">
        <v>0</v>
      </c>
      <c r="F104" s="220">
        <v>9.8000000000000007</v>
      </c>
      <c r="G104" s="220">
        <v>42.84</v>
      </c>
    </row>
    <row r="105" spans="1:7">
      <c r="A105" s="218" t="s">
        <v>259</v>
      </c>
      <c r="B105" s="219" t="s">
        <v>258</v>
      </c>
      <c r="C105" s="218">
        <v>150</v>
      </c>
      <c r="D105" s="220">
        <v>14.58</v>
      </c>
      <c r="E105" s="220">
        <v>19.3</v>
      </c>
      <c r="F105" s="220">
        <v>2.81</v>
      </c>
      <c r="G105" s="220">
        <v>243.26</v>
      </c>
    </row>
    <row r="106" spans="1:7" ht="25.5">
      <c r="A106" s="218" t="s">
        <v>42</v>
      </c>
      <c r="B106" s="219" t="s">
        <v>217</v>
      </c>
      <c r="C106" s="218">
        <v>200</v>
      </c>
      <c r="D106" s="220">
        <v>1</v>
      </c>
      <c r="E106" s="220">
        <v>0.1</v>
      </c>
      <c r="F106" s="220">
        <v>31</v>
      </c>
      <c r="G106" s="220">
        <v>135</v>
      </c>
    </row>
    <row r="107" spans="1:7">
      <c r="A107" s="218" t="s">
        <v>173</v>
      </c>
      <c r="B107" s="219" t="s">
        <v>136</v>
      </c>
      <c r="C107" s="218">
        <v>10</v>
      </c>
      <c r="D107" s="220">
        <v>0.1</v>
      </c>
      <c r="E107" s="220">
        <v>7.26</v>
      </c>
      <c r="F107" s="220">
        <v>0.14000000000000001</v>
      </c>
      <c r="G107" s="220">
        <v>66.22</v>
      </c>
    </row>
    <row r="108" spans="1:7">
      <c r="A108" s="221"/>
      <c r="B108" s="219" t="s">
        <v>11</v>
      </c>
      <c r="C108" s="218">
        <v>40</v>
      </c>
      <c r="D108" s="220">
        <v>3.04</v>
      </c>
      <c r="E108" s="220">
        <v>0.32</v>
      </c>
      <c r="F108" s="220">
        <v>19.68</v>
      </c>
      <c r="G108" s="220">
        <v>98.34</v>
      </c>
    </row>
    <row r="109" spans="1:7">
      <c r="A109" s="253" t="s">
        <v>244</v>
      </c>
      <c r="B109" s="254"/>
      <c r="C109" s="216">
        <f>C104+C105+C106+C107+C108</f>
        <v>500</v>
      </c>
      <c r="D109" s="220"/>
      <c r="E109" s="220"/>
      <c r="F109" s="220"/>
      <c r="G109" s="220"/>
    </row>
    <row r="110" spans="1:7">
      <c r="A110" s="255" t="s">
        <v>267</v>
      </c>
      <c r="B110" s="255"/>
      <c r="C110" s="255"/>
      <c r="D110" s="215">
        <f>D111</f>
        <v>19.84</v>
      </c>
      <c r="E110" s="215">
        <f>E111</f>
        <v>16.079999999999998</v>
      </c>
      <c r="F110" s="215">
        <f>F111</f>
        <v>89.4</v>
      </c>
      <c r="G110" s="215">
        <f>G111</f>
        <v>596.24</v>
      </c>
    </row>
    <row r="111" spans="1:7">
      <c r="A111" s="216"/>
      <c r="B111" s="217" t="s">
        <v>66</v>
      </c>
      <c r="C111" s="216"/>
      <c r="D111" s="215">
        <f>D112+D113+D114+D115</f>
        <v>19.84</v>
      </c>
      <c r="E111" s="215">
        <f>E112+E113+E114+E115</f>
        <v>16.079999999999998</v>
      </c>
      <c r="F111" s="215">
        <f>F112+F113+F114+F115</f>
        <v>89.4</v>
      </c>
      <c r="G111" s="215">
        <f>G112+G113+G114+G115</f>
        <v>596.24</v>
      </c>
    </row>
    <row r="112" spans="1:7">
      <c r="A112" s="221" t="s">
        <v>261</v>
      </c>
      <c r="B112" s="219" t="s">
        <v>260</v>
      </c>
      <c r="C112" s="218">
        <v>105</v>
      </c>
      <c r="D112" s="220">
        <v>10.25</v>
      </c>
      <c r="E112" s="220">
        <v>12.84</v>
      </c>
      <c r="F112" s="220">
        <v>3.3</v>
      </c>
      <c r="G112" s="220">
        <v>169.76</v>
      </c>
    </row>
    <row r="113" spans="1:7">
      <c r="A113" s="218" t="s">
        <v>33</v>
      </c>
      <c r="B113" s="219" t="s">
        <v>12</v>
      </c>
      <c r="C113" s="218">
        <v>150</v>
      </c>
      <c r="D113" s="220">
        <v>5.64</v>
      </c>
      <c r="E113" s="220">
        <v>2.84</v>
      </c>
      <c r="F113" s="220">
        <v>36</v>
      </c>
      <c r="G113" s="220">
        <v>201</v>
      </c>
    </row>
    <row r="114" spans="1:7">
      <c r="A114" s="221" t="s">
        <v>263</v>
      </c>
      <c r="B114" s="226" t="s">
        <v>262</v>
      </c>
      <c r="C114" s="218">
        <v>200</v>
      </c>
      <c r="D114" s="220">
        <v>0.15</v>
      </c>
      <c r="E114" s="220">
        <v>0</v>
      </c>
      <c r="F114" s="220">
        <v>25.5</v>
      </c>
      <c r="G114" s="220">
        <v>102.58</v>
      </c>
    </row>
    <row r="115" spans="1:7">
      <c r="A115" s="218"/>
      <c r="B115" s="219" t="s">
        <v>11</v>
      </c>
      <c r="C115" s="218">
        <v>50</v>
      </c>
      <c r="D115" s="220">
        <v>3.8</v>
      </c>
      <c r="E115" s="220">
        <v>0.4</v>
      </c>
      <c r="F115" s="220">
        <v>24.6</v>
      </c>
      <c r="G115" s="220">
        <v>122.9</v>
      </c>
    </row>
    <row r="116" spans="1:7">
      <c r="A116" s="253" t="s">
        <v>244</v>
      </c>
      <c r="B116" s="254"/>
      <c r="C116" s="216">
        <f>C115+C114+C113+C112</f>
        <v>505</v>
      </c>
      <c r="D116" s="220"/>
      <c r="E116" s="220"/>
      <c r="F116" s="220"/>
      <c r="G116" s="220"/>
    </row>
    <row r="117" spans="1:7">
      <c r="A117" s="255" t="s">
        <v>268</v>
      </c>
      <c r="B117" s="255"/>
      <c r="C117" s="255"/>
      <c r="D117" s="215">
        <f>D118</f>
        <v>15.45</v>
      </c>
      <c r="E117" s="215">
        <f>E118</f>
        <v>23.09</v>
      </c>
      <c r="F117" s="215">
        <f>F118</f>
        <v>62.269999999999996</v>
      </c>
      <c r="G117" s="215">
        <f>G118</f>
        <v>534.32000000000005</v>
      </c>
    </row>
    <row r="118" spans="1:7">
      <c r="A118" s="216"/>
      <c r="B118" s="217" t="s">
        <v>66</v>
      </c>
      <c r="C118" s="216"/>
      <c r="D118" s="215">
        <f>D119+D120+D121+D122</f>
        <v>15.45</v>
      </c>
      <c r="E118" s="215">
        <f>E119+E120+E121+E122</f>
        <v>23.09</v>
      </c>
      <c r="F118" s="215">
        <f>F119+F120+F121+F122</f>
        <v>62.269999999999996</v>
      </c>
      <c r="G118" s="215">
        <f>G119+G120+G121+G122</f>
        <v>534.32000000000005</v>
      </c>
    </row>
    <row r="119" spans="1:7">
      <c r="A119" s="221" t="s">
        <v>160</v>
      </c>
      <c r="B119" s="219" t="s">
        <v>161</v>
      </c>
      <c r="C119" s="227">
        <v>110</v>
      </c>
      <c r="D119" s="220">
        <v>9.15</v>
      </c>
      <c r="E119" s="220">
        <v>14.97</v>
      </c>
      <c r="F119" s="220">
        <v>10.6</v>
      </c>
      <c r="G119" s="220">
        <v>217.68</v>
      </c>
    </row>
    <row r="120" spans="1:7">
      <c r="A120" s="218" t="s">
        <v>34</v>
      </c>
      <c r="B120" s="219" t="s">
        <v>32</v>
      </c>
      <c r="C120" s="218">
        <v>150</v>
      </c>
      <c r="D120" s="220">
        <v>3.26</v>
      </c>
      <c r="E120" s="220">
        <v>7.8</v>
      </c>
      <c r="F120" s="220">
        <v>21.99</v>
      </c>
      <c r="G120" s="220">
        <v>176.3</v>
      </c>
    </row>
    <row r="121" spans="1:7">
      <c r="A121" s="222" t="s">
        <v>176</v>
      </c>
      <c r="B121" s="219" t="s">
        <v>10</v>
      </c>
      <c r="C121" s="222">
        <v>200</v>
      </c>
      <c r="D121" s="220">
        <v>0</v>
      </c>
      <c r="E121" s="220">
        <v>0</v>
      </c>
      <c r="F121" s="220">
        <v>10</v>
      </c>
      <c r="G121" s="220">
        <v>42</v>
      </c>
    </row>
    <row r="122" spans="1:7">
      <c r="A122" s="221"/>
      <c r="B122" s="219" t="s">
        <v>11</v>
      </c>
      <c r="C122" s="218">
        <v>40</v>
      </c>
      <c r="D122" s="220">
        <v>3.04</v>
      </c>
      <c r="E122" s="220">
        <v>0.32</v>
      </c>
      <c r="F122" s="220">
        <v>19.68</v>
      </c>
      <c r="G122" s="220">
        <v>98.34</v>
      </c>
    </row>
    <row r="123" spans="1:7">
      <c r="A123" s="253" t="s">
        <v>244</v>
      </c>
      <c r="B123" s="254"/>
      <c r="C123" s="216">
        <f>SUM(C119:C122)</f>
        <v>500</v>
      </c>
      <c r="D123" s="220"/>
      <c r="E123" s="220"/>
      <c r="F123" s="220"/>
      <c r="G123" s="220"/>
    </row>
    <row r="124" spans="1:7">
      <c r="A124" s="255" t="s">
        <v>269</v>
      </c>
      <c r="B124" s="255"/>
      <c r="C124" s="255"/>
      <c r="D124" s="215">
        <f>D125</f>
        <v>13.25</v>
      </c>
      <c r="E124" s="215">
        <f>E125</f>
        <v>11.26</v>
      </c>
      <c r="F124" s="215">
        <f>F125</f>
        <v>80.42</v>
      </c>
      <c r="G124" s="215">
        <f>G125</f>
        <v>495.49</v>
      </c>
    </row>
    <row r="125" spans="1:7">
      <c r="A125" s="216"/>
      <c r="B125" s="217" t="s">
        <v>66</v>
      </c>
      <c r="C125" s="216"/>
      <c r="D125" s="215">
        <f>D126+D127+D128+D129+D130+D131</f>
        <v>13.25</v>
      </c>
      <c r="E125" s="215">
        <f>E126+E127+E128+E129+E130+E131</f>
        <v>11.26</v>
      </c>
      <c r="F125" s="215">
        <f>F126+F127+F128+F129+F130+F131</f>
        <v>80.42</v>
      </c>
      <c r="G125" s="215">
        <f>G126+G127+G128+G129+G130+G131</f>
        <v>495.49</v>
      </c>
    </row>
    <row r="126" spans="1:7">
      <c r="A126" s="238" t="s">
        <v>175</v>
      </c>
      <c r="B126" s="237" t="s">
        <v>35</v>
      </c>
      <c r="C126" s="238">
        <v>10</v>
      </c>
      <c r="D126" s="239">
        <v>2.6</v>
      </c>
      <c r="E126" s="239">
        <v>2.65</v>
      </c>
      <c r="F126" s="239">
        <v>0.35</v>
      </c>
      <c r="G126" s="239">
        <v>36.24</v>
      </c>
    </row>
    <row r="127" spans="1:7">
      <c r="A127" s="238" t="s">
        <v>173</v>
      </c>
      <c r="B127" s="237" t="s">
        <v>136</v>
      </c>
      <c r="C127" s="238">
        <v>5</v>
      </c>
      <c r="D127" s="239">
        <v>0.05</v>
      </c>
      <c r="E127" s="239">
        <v>3.63</v>
      </c>
      <c r="F127" s="239">
        <v>7.0000000000000007E-2</v>
      </c>
      <c r="G127" s="239">
        <v>33.11</v>
      </c>
    </row>
    <row r="128" spans="1:7">
      <c r="A128" s="221"/>
      <c r="B128" s="219" t="s">
        <v>41</v>
      </c>
      <c r="C128" s="218">
        <v>100</v>
      </c>
      <c r="D128" s="220">
        <v>0.4</v>
      </c>
      <c r="E128" s="220">
        <v>0</v>
      </c>
      <c r="F128" s="220">
        <v>9.8000000000000007</v>
      </c>
      <c r="G128" s="220">
        <v>42.84</v>
      </c>
    </row>
    <row r="129" spans="1:7" ht="25.5">
      <c r="A129" s="218" t="s">
        <v>174</v>
      </c>
      <c r="B129" s="219" t="s">
        <v>202</v>
      </c>
      <c r="C129" s="218">
        <v>203</v>
      </c>
      <c r="D129" s="220">
        <v>7.16</v>
      </c>
      <c r="E129" s="220">
        <v>4.66</v>
      </c>
      <c r="F129" s="220">
        <v>40.520000000000003</v>
      </c>
      <c r="G129" s="220">
        <v>242.96</v>
      </c>
    </row>
    <row r="130" spans="1:7">
      <c r="A130" s="236" t="s">
        <v>176</v>
      </c>
      <c r="B130" s="237" t="s">
        <v>10</v>
      </c>
      <c r="C130" s="238">
        <v>200</v>
      </c>
      <c r="D130" s="239">
        <v>0</v>
      </c>
      <c r="E130" s="239">
        <v>0</v>
      </c>
      <c r="F130" s="239">
        <v>10</v>
      </c>
      <c r="G130" s="239">
        <v>42</v>
      </c>
    </row>
    <row r="131" spans="1:7">
      <c r="A131" s="222"/>
      <c r="B131" s="219" t="s">
        <v>11</v>
      </c>
      <c r="C131" s="218">
        <v>40</v>
      </c>
      <c r="D131" s="220">
        <v>3.04</v>
      </c>
      <c r="E131" s="220">
        <v>0.32</v>
      </c>
      <c r="F131" s="220">
        <v>19.68</v>
      </c>
      <c r="G131" s="220">
        <v>98.34</v>
      </c>
    </row>
    <row r="132" spans="1:7">
      <c r="A132" s="253" t="s">
        <v>244</v>
      </c>
      <c r="B132" s="254"/>
      <c r="C132" s="223">
        <f>C126+C127+C128+C129+C130+C131</f>
        <v>558</v>
      </c>
      <c r="D132" s="224"/>
      <c r="E132" s="224"/>
      <c r="F132" s="224"/>
      <c r="G132" s="224"/>
    </row>
    <row r="133" spans="1:7">
      <c r="A133" s="255" t="s">
        <v>270</v>
      </c>
      <c r="B133" s="255"/>
      <c r="C133" s="255"/>
      <c r="D133" s="215">
        <f>D134</f>
        <v>19.169999999999998</v>
      </c>
      <c r="E133" s="215">
        <f>E134</f>
        <v>19.16</v>
      </c>
      <c r="F133" s="215">
        <f>F134</f>
        <v>82.710000000000008</v>
      </c>
      <c r="G133" s="215">
        <f>G134</f>
        <v>596.1</v>
      </c>
    </row>
    <row r="134" spans="1:7">
      <c r="A134" s="216"/>
      <c r="B134" s="217" t="s">
        <v>66</v>
      </c>
      <c r="C134" s="216"/>
      <c r="D134" s="215">
        <f>D135+D136+D137+D138</f>
        <v>19.169999999999998</v>
      </c>
      <c r="E134" s="215">
        <f>E135+E136+E137+E138</f>
        <v>19.16</v>
      </c>
      <c r="F134" s="215">
        <f>F135+F136+F137+F138</f>
        <v>82.710000000000008</v>
      </c>
      <c r="G134" s="215">
        <f>G135+G136+G137+G138</f>
        <v>596.1</v>
      </c>
    </row>
    <row r="135" spans="1:7">
      <c r="A135" s="221" t="s">
        <v>264</v>
      </c>
      <c r="B135" s="219" t="s">
        <v>291</v>
      </c>
      <c r="C135" s="218">
        <v>110</v>
      </c>
      <c r="D135" s="220">
        <v>9.34</v>
      </c>
      <c r="E135" s="220">
        <v>16</v>
      </c>
      <c r="F135" s="220">
        <v>15</v>
      </c>
      <c r="G135" s="220">
        <v>241.36</v>
      </c>
    </row>
    <row r="136" spans="1:7">
      <c r="A136" s="218" t="s">
        <v>33</v>
      </c>
      <c r="B136" s="219" t="s">
        <v>12</v>
      </c>
      <c r="C136" s="218">
        <v>150</v>
      </c>
      <c r="D136" s="220">
        <v>5.64</v>
      </c>
      <c r="E136" s="220">
        <v>2.84</v>
      </c>
      <c r="F136" s="220">
        <v>36</v>
      </c>
      <c r="G136" s="220">
        <v>201</v>
      </c>
    </row>
    <row r="137" spans="1:7">
      <c r="A137" s="218" t="s">
        <v>42</v>
      </c>
      <c r="B137" s="219" t="s">
        <v>216</v>
      </c>
      <c r="C137" s="218">
        <v>200</v>
      </c>
      <c r="D137" s="220">
        <v>1.1499999999999999</v>
      </c>
      <c r="E137" s="220"/>
      <c r="F137" s="220">
        <v>12.03</v>
      </c>
      <c r="G137" s="220">
        <v>55.4</v>
      </c>
    </row>
    <row r="138" spans="1:7">
      <c r="A138" s="218"/>
      <c r="B138" s="219" t="s">
        <v>11</v>
      </c>
      <c r="C138" s="218">
        <v>40</v>
      </c>
      <c r="D138" s="220">
        <v>3.04</v>
      </c>
      <c r="E138" s="220">
        <v>0.32</v>
      </c>
      <c r="F138" s="220">
        <v>19.68</v>
      </c>
      <c r="G138" s="220">
        <v>98.34</v>
      </c>
    </row>
    <row r="139" spans="1:7">
      <c r="A139" s="253" t="s">
        <v>244</v>
      </c>
      <c r="B139" s="254"/>
      <c r="C139" s="223">
        <f>C135+C136+C137+C138</f>
        <v>500</v>
      </c>
      <c r="D139" s="224"/>
      <c r="E139" s="224"/>
      <c r="F139" s="224"/>
      <c r="G139" s="224"/>
    </row>
    <row r="140" spans="1:7">
      <c r="A140" s="255" t="s">
        <v>271</v>
      </c>
      <c r="B140" s="255"/>
      <c r="C140" s="255"/>
      <c r="D140" s="215">
        <f>D141</f>
        <v>20.49</v>
      </c>
      <c r="E140" s="215">
        <f>E141</f>
        <v>22.5</v>
      </c>
      <c r="F140" s="215">
        <f>F141</f>
        <v>85.52000000000001</v>
      </c>
      <c r="G140" s="215">
        <f>G141</f>
        <v>644.4</v>
      </c>
    </row>
    <row r="141" spans="1:7">
      <c r="A141" s="216"/>
      <c r="B141" s="217" t="s">
        <v>66</v>
      </c>
      <c r="C141" s="216"/>
      <c r="D141" s="215">
        <f>D142+D143+D144+D145+D146</f>
        <v>20.49</v>
      </c>
      <c r="E141" s="215">
        <f>E142+E143+E144+E145+E146</f>
        <v>22.5</v>
      </c>
      <c r="F141" s="215">
        <f>F142+F143+F144+F145+F146</f>
        <v>85.52000000000001</v>
      </c>
      <c r="G141" s="215">
        <f>G142+G143+G144+G145+G146</f>
        <v>644.4</v>
      </c>
    </row>
    <row r="142" spans="1:7">
      <c r="A142" s="218" t="s">
        <v>266</v>
      </c>
      <c r="B142" s="219" t="s">
        <v>265</v>
      </c>
      <c r="C142" s="218">
        <v>90</v>
      </c>
      <c r="D142" s="220">
        <v>10.18</v>
      </c>
      <c r="E142" s="220">
        <v>9.74</v>
      </c>
      <c r="F142" s="220">
        <v>10.17</v>
      </c>
      <c r="G142" s="220">
        <v>169.06</v>
      </c>
    </row>
    <row r="143" spans="1:7">
      <c r="A143" s="218" t="s">
        <v>132</v>
      </c>
      <c r="B143" s="219" t="s">
        <v>133</v>
      </c>
      <c r="C143" s="218">
        <v>150</v>
      </c>
      <c r="D143" s="220">
        <v>5.77</v>
      </c>
      <c r="E143" s="220">
        <v>10.08</v>
      </c>
      <c r="F143" s="220">
        <v>30.69</v>
      </c>
      <c r="G143" s="220">
        <v>244</v>
      </c>
    </row>
    <row r="144" spans="1:7">
      <c r="A144" s="221"/>
      <c r="B144" s="219" t="s">
        <v>62</v>
      </c>
      <c r="C144" s="218">
        <v>20</v>
      </c>
      <c r="D144" s="220">
        <v>1.5</v>
      </c>
      <c r="E144" s="220">
        <v>2.36</v>
      </c>
      <c r="F144" s="220">
        <v>14.98</v>
      </c>
      <c r="G144" s="220">
        <v>91</v>
      </c>
    </row>
    <row r="145" spans="1:7">
      <c r="A145" s="221" t="s">
        <v>176</v>
      </c>
      <c r="B145" s="219" t="s">
        <v>10</v>
      </c>
      <c r="C145" s="222">
        <v>200</v>
      </c>
      <c r="D145" s="220">
        <v>0</v>
      </c>
      <c r="E145" s="220">
        <v>0</v>
      </c>
      <c r="F145" s="220">
        <v>10</v>
      </c>
      <c r="G145" s="220">
        <v>42</v>
      </c>
    </row>
    <row r="146" spans="1:7">
      <c r="A146" s="221"/>
      <c r="B146" s="226" t="s">
        <v>11</v>
      </c>
      <c r="C146" s="221">
        <v>40</v>
      </c>
      <c r="D146" s="224">
        <v>3.04</v>
      </c>
      <c r="E146" s="224">
        <v>0.32</v>
      </c>
      <c r="F146" s="224">
        <v>19.68</v>
      </c>
      <c r="G146" s="224">
        <v>98.34</v>
      </c>
    </row>
    <row r="147" spans="1:7">
      <c r="A147" s="253" t="s">
        <v>244</v>
      </c>
      <c r="B147" s="254"/>
      <c r="C147" s="228">
        <f>SUM(C142:C146)</f>
        <v>500</v>
      </c>
      <c r="D147" s="220"/>
      <c r="E147" s="220"/>
      <c r="F147" s="220"/>
      <c r="G147" s="220"/>
    </row>
    <row r="148" spans="1:7">
      <c r="A148" s="255" t="s">
        <v>274</v>
      </c>
      <c r="B148" s="255"/>
      <c r="C148" s="255"/>
      <c r="D148" s="215">
        <f>D149</f>
        <v>20.91</v>
      </c>
      <c r="E148" s="215">
        <f>E149</f>
        <v>11.200000000000001</v>
      </c>
      <c r="F148" s="215">
        <f>F149</f>
        <v>74.34</v>
      </c>
      <c r="G148" s="215">
        <f>G149</f>
        <v>497.32</v>
      </c>
    </row>
    <row r="149" spans="1:7">
      <c r="A149" s="216"/>
      <c r="B149" s="217" t="s">
        <v>66</v>
      </c>
      <c r="C149" s="216"/>
      <c r="D149" s="215">
        <f>D150+D151+D152+D153+D154</f>
        <v>20.91</v>
      </c>
      <c r="E149" s="215">
        <f>E150+E151+E152+E153+E154</f>
        <v>11.200000000000001</v>
      </c>
      <c r="F149" s="215">
        <f>F150+F151+F152+F153+F154</f>
        <v>74.34</v>
      </c>
      <c r="G149" s="215">
        <f>G150+G151+G152+G153+G154</f>
        <v>497.32</v>
      </c>
    </row>
    <row r="150" spans="1:7">
      <c r="A150" s="218" t="s">
        <v>273</v>
      </c>
      <c r="B150" s="219" t="s">
        <v>272</v>
      </c>
      <c r="C150" s="218">
        <v>90</v>
      </c>
      <c r="D150" s="220">
        <v>14.55</v>
      </c>
      <c r="E150" s="220">
        <v>5.24</v>
      </c>
      <c r="F150" s="220">
        <v>8.2799999999999994</v>
      </c>
      <c r="G150" s="220">
        <v>138.54</v>
      </c>
    </row>
    <row r="151" spans="1:7">
      <c r="A151" s="218" t="s">
        <v>183</v>
      </c>
      <c r="B151" s="219" t="s">
        <v>157</v>
      </c>
      <c r="C151" s="218">
        <v>150</v>
      </c>
      <c r="D151" s="220">
        <v>3.81</v>
      </c>
      <c r="E151" s="220">
        <v>2.72</v>
      </c>
      <c r="F151" s="220">
        <v>40</v>
      </c>
      <c r="G151" s="220">
        <v>208.48</v>
      </c>
    </row>
    <row r="152" spans="1:7">
      <c r="A152" s="222" t="s">
        <v>185</v>
      </c>
      <c r="B152" s="219" t="s">
        <v>169</v>
      </c>
      <c r="C152" s="218">
        <v>30</v>
      </c>
      <c r="D152" s="220">
        <v>0.27</v>
      </c>
      <c r="E152" s="220">
        <v>3</v>
      </c>
      <c r="F152" s="220">
        <v>1.3</v>
      </c>
      <c r="G152" s="220">
        <v>34.5</v>
      </c>
    </row>
    <row r="153" spans="1:7">
      <c r="A153" s="221" t="s">
        <v>176</v>
      </c>
      <c r="B153" s="219" t="s">
        <v>10</v>
      </c>
      <c r="C153" s="222">
        <v>200</v>
      </c>
      <c r="D153" s="220">
        <v>0</v>
      </c>
      <c r="E153" s="220">
        <v>0</v>
      </c>
      <c r="F153" s="220">
        <v>10</v>
      </c>
      <c r="G153" s="220">
        <v>42</v>
      </c>
    </row>
    <row r="154" spans="1:7">
      <c r="A154" s="221"/>
      <c r="B154" s="226" t="s">
        <v>11</v>
      </c>
      <c r="C154" s="221">
        <v>30</v>
      </c>
      <c r="D154" s="224">
        <v>2.2799999999999998</v>
      </c>
      <c r="E154" s="224">
        <v>0.24</v>
      </c>
      <c r="F154" s="224">
        <v>14.76</v>
      </c>
      <c r="G154" s="224">
        <v>73.8</v>
      </c>
    </row>
    <row r="155" spans="1:7">
      <c r="A155" s="253" t="s">
        <v>244</v>
      </c>
      <c r="B155" s="254"/>
      <c r="C155" s="216">
        <f>SUM(C150:C154)</f>
        <v>500</v>
      </c>
      <c r="D155" s="220"/>
      <c r="E155" s="220"/>
      <c r="F155" s="220"/>
      <c r="G155" s="220"/>
    </row>
    <row r="156" spans="1:7">
      <c r="A156" s="255" t="s">
        <v>275</v>
      </c>
      <c r="B156" s="255"/>
      <c r="C156" s="255"/>
      <c r="D156" s="215">
        <f>D157</f>
        <v>28.39</v>
      </c>
      <c r="E156" s="215">
        <f>E157</f>
        <v>9.39</v>
      </c>
      <c r="F156" s="215">
        <f>F157</f>
        <v>80.09</v>
      </c>
      <c r="G156" s="215">
        <f>G157</f>
        <v>527.21</v>
      </c>
    </row>
    <row r="157" spans="1:7">
      <c r="A157" s="216"/>
      <c r="B157" s="217" t="s">
        <v>66</v>
      </c>
      <c r="C157" s="216"/>
      <c r="D157" s="215">
        <f>D158+D159+D160+D161</f>
        <v>28.39</v>
      </c>
      <c r="E157" s="215">
        <f>E158+E159+E160+E161</f>
        <v>9.39</v>
      </c>
      <c r="F157" s="215">
        <f>F158+F159+F160+F161</f>
        <v>80.09</v>
      </c>
      <c r="G157" s="215">
        <f>G158+G159+G160+G161</f>
        <v>527.21</v>
      </c>
    </row>
    <row r="158" spans="1:7">
      <c r="A158" s="221"/>
      <c r="B158" s="219" t="s">
        <v>41</v>
      </c>
      <c r="C158" s="218">
        <v>110</v>
      </c>
      <c r="D158" s="220">
        <v>0.44</v>
      </c>
      <c r="E158" s="220">
        <v>0</v>
      </c>
      <c r="F158" s="220">
        <v>10.78</v>
      </c>
      <c r="G158" s="220">
        <v>47.12</v>
      </c>
    </row>
    <row r="159" spans="1:7" ht="25.5">
      <c r="A159" s="218" t="s">
        <v>277</v>
      </c>
      <c r="B159" s="219" t="s">
        <v>276</v>
      </c>
      <c r="C159" s="218">
        <v>150</v>
      </c>
      <c r="D159" s="220">
        <v>24.91</v>
      </c>
      <c r="E159" s="220">
        <v>9.07</v>
      </c>
      <c r="F159" s="220">
        <v>39.630000000000003</v>
      </c>
      <c r="G159" s="220">
        <v>339.75</v>
      </c>
    </row>
    <row r="160" spans="1:7">
      <c r="A160" s="221" t="s">
        <v>176</v>
      </c>
      <c r="B160" s="219" t="s">
        <v>10</v>
      </c>
      <c r="C160" s="222">
        <v>200</v>
      </c>
      <c r="D160" s="220">
        <v>0</v>
      </c>
      <c r="E160" s="220">
        <v>0</v>
      </c>
      <c r="F160" s="220">
        <v>10</v>
      </c>
      <c r="G160" s="220">
        <v>42</v>
      </c>
    </row>
    <row r="161" spans="1:7">
      <c r="A161" s="221"/>
      <c r="B161" s="226" t="s">
        <v>11</v>
      </c>
      <c r="C161" s="221">
        <v>40</v>
      </c>
      <c r="D161" s="224">
        <v>3.04</v>
      </c>
      <c r="E161" s="224">
        <v>0.32</v>
      </c>
      <c r="F161" s="224">
        <v>19.68</v>
      </c>
      <c r="G161" s="224">
        <v>98.34</v>
      </c>
    </row>
    <row r="162" spans="1:7">
      <c r="A162" s="253" t="s">
        <v>244</v>
      </c>
      <c r="B162" s="254"/>
      <c r="C162" s="228">
        <f>SUM(C158:C161)</f>
        <v>500</v>
      </c>
      <c r="D162" s="218"/>
      <c r="E162" s="218"/>
      <c r="F162" s="218"/>
      <c r="G162" s="218"/>
    </row>
  </sheetData>
  <mergeCells count="47">
    <mergeCell ref="A162:B162"/>
    <mergeCell ref="A124:C124"/>
    <mergeCell ref="A132:B132"/>
    <mergeCell ref="A133:C133"/>
    <mergeCell ref="A139:B139"/>
    <mergeCell ref="A140:C140"/>
    <mergeCell ref="A147:B147"/>
    <mergeCell ref="A148:C148"/>
    <mergeCell ref="A155:B155"/>
    <mergeCell ref="A156:C156"/>
    <mergeCell ref="A123:B123"/>
    <mergeCell ref="A85:C85"/>
    <mergeCell ref="A93:B93"/>
    <mergeCell ref="A94:C94"/>
    <mergeCell ref="A101:B101"/>
    <mergeCell ref="A102:C102"/>
    <mergeCell ref="A109:B109"/>
    <mergeCell ref="A110:C110"/>
    <mergeCell ref="A116:B116"/>
    <mergeCell ref="A117:C117"/>
    <mergeCell ref="A46:B46"/>
    <mergeCell ref="A1:G2"/>
    <mergeCell ref="A5:A6"/>
    <mergeCell ref="B5:B6"/>
    <mergeCell ref="C5:C6"/>
    <mergeCell ref="D5:F5"/>
    <mergeCell ref="G5:G6"/>
    <mergeCell ref="A18:B18"/>
    <mergeCell ref="A32:B32"/>
    <mergeCell ref="A25:B25"/>
    <mergeCell ref="A54:C54"/>
    <mergeCell ref="A19:C19"/>
    <mergeCell ref="A26:C26"/>
    <mergeCell ref="A33:C33"/>
    <mergeCell ref="A40:C40"/>
    <mergeCell ref="A47:C47"/>
    <mergeCell ref="A39:B39"/>
    <mergeCell ref="A62:C62"/>
    <mergeCell ref="A69:C69"/>
    <mergeCell ref="A77:C77"/>
    <mergeCell ref="A8:C8"/>
    <mergeCell ref="A84:B84"/>
    <mergeCell ref="A3:G4"/>
    <mergeCell ref="A53:B53"/>
    <mergeCell ref="A61:B61"/>
    <mergeCell ref="A68:B68"/>
    <mergeCell ref="A76:B76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162"/>
  <sheetViews>
    <sheetView topLeftCell="A102" zoomScale="98" zoomScaleNormal="98" workbookViewId="0">
      <selection activeCell="D124" sqref="D124"/>
    </sheetView>
  </sheetViews>
  <sheetFormatPr defaultRowHeight="12.75"/>
  <cols>
    <col min="1" max="1" width="11" style="195" customWidth="1"/>
    <col min="2" max="2" width="36.140625" style="209" customWidth="1"/>
    <col min="3" max="3" width="10.1406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16384" width="9.140625" style="184"/>
  </cols>
  <sheetData>
    <row r="1" spans="1:7">
      <c r="A1" s="251" t="s">
        <v>248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18.75" customHeight="1">
      <c r="A3" s="249" t="s">
        <v>249</v>
      </c>
      <c r="B3" s="249"/>
      <c r="C3" s="249"/>
      <c r="D3" s="249"/>
      <c r="E3" s="249"/>
      <c r="F3" s="249"/>
      <c r="G3" s="249"/>
    </row>
    <row r="4" spans="1:7" ht="154.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29.2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5" t="s">
        <v>235</v>
      </c>
      <c r="B8" s="255"/>
      <c r="C8" s="255"/>
      <c r="D8" s="215">
        <f>D9</f>
        <v>18.0425</v>
      </c>
      <c r="E8" s="215">
        <f>E9</f>
        <v>21.902500000000003</v>
      </c>
      <c r="F8" s="215">
        <f>F9</f>
        <v>98.067499999999995</v>
      </c>
      <c r="G8" s="215">
        <f>G9</f>
        <v>666.62</v>
      </c>
    </row>
    <row r="9" spans="1:7">
      <c r="A9" s="216"/>
      <c r="B9" s="217" t="s">
        <v>66</v>
      </c>
      <c r="C9" s="216"/>
      <c r="D9" s="215">
        <f>D10+D11+D12+D13+D14+D15</f>
        <v>18.0425</v>
      </c>
      <c r="E9" s="215">
        <f>E10+E11+E12+E13+E14+E15</f>
        <v>21.902500000000003</v>
      </c>
      <c r="F9" s="215">
        <f>F10+F11+F12+F13+F14+F15</f>
        <v>98.067499999999995</v>
      </c>
      <c r="G9" s="215">
        <f>G10+G11+G12+G13+G14+G15</f>
        <v>666.62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590</v>
      </c>
      <c r="D18" s="224"/>
      <c r="E18" s="224"/>
      <c r="F18" s="224"/>
      <c r="G18" s="224"/>
    </row>
    <row r="19" spans="1:7" ht="27.95" customHeight="1">
      <c r="A19" s="255" t="s">
        <v>236</v>
      </c>
      <c r="B19" s="255"/>
      <c r="C19" s="255"/>
      <c r="D19" s="215">
        <f>D20</f>
        <v>13.695799999999998</v>
      </c>
      <c r="E19" s="215">
        <f>E20</f>
        <v>19.484000000000002</v>
      </c>
      <c r="F19" s="215">
        <f>F20</f>
        <v>78.296700000000001</v>
      </c>
      <c r="G19" s="215">
        <f>G20</f>
        <v>561.83000000000004</v>
      </c>
    </row>
    <row r="20" spans="1:7">
      <c r="A20" s="216"/>
      <c r="B20" s="217" t="s">
        <v>66</v>
      </c>
      <c r="C20" s="216"/>
      <c r="D20" s="215">
        <f>D21+D22+D23+D24</f>
        <v>13.695799999999998</v>
      </c>
      <c r="E20" s="215">
        <f>E21+E22+E23+E24</f>
        <v>19.484000000000002</v>
      </c>
      <c r="F20" s="215">
        <f>F21+F22+F23+F24</f>
        <v>78.296700000000001</v>
      </c>
      <c r="G20" s="215">
        <f>G21+G22+G23+G24</f>
        <v>561.83000000000004</v>
      </c>
    </row>
    <row r="21" spans="1:7">
      <c r="A21" s="218" t="s">
        <v>219</v>
      </c>
      <c r="B21" s="219" t="s">
        <v>140</v>
      </c>
      <c r="C21" s="218">
        <v>115</v>
      </c>
      <c r="D21" s="220">
        <v>6.32</v>
      </c>
      <c r="E21" s="220">
        <v>8.7899999999999991</v>
      </c>
      <c r="F21" s="220">
        <v>19.37</v>
      </c>
      <c r="G21" s="220">
        <v>187.01</v>
      </c>
    </row>
    <row r="22" spans="1:7">
      <c r="A22" s="218" t="s">
        <v>34</v>
      </c>
      <c r="B22" s="219" t="s">
        <v>32</v>
      </c>
      <c r="C22" s="218">
        <v>200</v>
      </c>
      <c r="D22" s="220">
        <f>3.26*1.33</f>
        <v>4.3357999999999999</v>
      </c>
      <c r="E22" s="220">
        <f>7.8*1.33</f>
        <v>10.374000000000001</v>
      </c>
      <c r="F22" s="220">
        <f>21.99*1.33</f>
        <v>29.246700000000001</v>
      </c>
      <c r="G22" s="220">
        <v>234.48</v>
      </c>
    </row>
    <row r="23" spans="1:7">
      <c r="A23" s="221" t="s">
        <v>176</v>
      </c>
      <c r="B23" s="219" t="s">
        <v>10</v>
      </c>
      <c r="C23" s="218">
        <v>200</v>
      </c>
      <c r="D23" s="220">
        <v>0</v>
      </c>
      <c r="E23" s="220">
        <v>0</v>
      </c>
      <c r="F23" s="220">
        <v>10</v>
      </c>
      <c r="G23" s="220">
        <v>42</v>
      </c>
    </row>
    <row r="24" spans="1:7">
      <c r="A24" s="218"/>
      <c r="B24" s="219" t="s">
        <v>11</v>
      </c>
      <c r="C24" s="218">
        <v>40</v>
      </c>
      <c r="D24" s="220">
        <v>3.04</v>
      </c>
      <c r="E24" s="220">
        <v>0.32</v>
      </c>
      <c r="F24" s="220">
        <v>19.68</v>
      </c>
      <c r="G24" s="220">
        <v>98.34</v>
      </c>
    </row>
    <row r="25" spans="1:7">
      <c r="A25" s="257" t="s">
        <v>244</v>
      </c>
      <c r="B25" s="257"/>
      <c r="C25" s="216">
        <f>SUM(C21:C24)</f>
        <v>555</v>
      </c>
      <c r="D25" s="220"/>
      <c r="E25" s="220"/>
      <c r="F25" s="220"/>
      <c r="G25" s="220"/>
    </row>
    <row r="26" spans="1:7" ht="27.95" customHeight="1">
      <c r="A26" s="255" t="s">
        <v>237</v>
      </c>
      <c r="B26" s="255"/>
      <c r="C26" s="255"/>
      <c r="D26" s="215">
        <f>D27</f>
        <v>20.393000000000001</v>
      </c>
      <c r="E26" s="215">
        <f>E27</f>
        <v>6.54</v>
      </c>
      <c r="F26" s="215">
        <f>F27</f>
        <v>96.962760000000003</v>
      </c>
      <c r="G26" s="215">
        <f>G27</f>
        <v>551.20499999999993</v>
      </c>
    </row>
    <row r="27" spans="1:7">
      <c r="A27" s="216"/>
      <c r="B27" s="217" t="s">
        <v>66</v>
      </c>
      <c r="C27" s="216"/>
      <c r="D27" s="215">
        <f>D28+D29+D30+D31</f>
        <v>20.393000000000001</v>
      </c>
      <c r="E27" s="215">
        <f>E28+E29+E30+E31</f>
        <v>6.54</v>
      </c>
      <c r="F27" s="215">
        <f>F28+F29+F30+F31</f>
        <v>96.962760000000003</v>
      </c>
      <c r="G27" s="215">
        <f>G28+G29+G30+G31</f>
        <v>551.20499999999993</v>
      </c>
    </row>
    <row r="28" spans="1:7" ht="15" customHeight="1">
      <c r="A28" s="218" t="s">
        <v>142</v>
      </c>
      <c r="B28" s="219" t="s">
        <v>143</v>
      </c>
      <c r="C28" s="218">
        <v>100</v>
      </c>
      <c r="D28" s="220">
        <f>0.9*1.67</f>
        <v>1.5029999999999999</v>
      </c>
      <c r="E28" s="220">
        <v>0.06</v>
      </c>
      <c r="F28" s="220">
        <f>8.28*1.667</f>
        <v>13.802759999999999</v>
      </c>
      <c r="G28" s="220">
        <v>64.28</v>
      </c>
    </row>
    <row r="29" spans="1:7">
      <c r="A29" s="218" t="s">
        <v>222</v>
      </c>
      <c r="B29" s="219" t="s">
        <v>144</v>
      </c>
      <c r="C29" s="218">
        <v>200</v>
      </c>
      <c r="D29" s="220">
        <v>14.09</v>
      </c>
      <c r="E29" s="220">
        <v>5.98</v>
      </c>
      <c r="F29" s="220">
        <v>27.56</v>
      </c>
      <c r="G29" s="220">
        <v>229</v>
      </c>
    </row>
    <row r="30" spans="1:7" ht="21.75" customHeight="1">
      <c r="A30" s="218" t="s">
        <v>42</v>
      </c>
      <c r="B30" s="219" t="s">
        <v>217</v>
      </c>
      <c r="C30" s="218">
        <v>200</v>
      </c>
      <c r="D30" s="220">
        <v>1</v>
      </c>
      <c r="E30" s="220">
        <v>0.1</v>
      </c>
      <c r="F30" s="220">
        <v>31</v>
      </c>
      <c r="G30" s="220">
        <v>135</v>
      </c>
    </row>
    <row r="31" spans="1:7" ht="15" customHeight="1">
      <c r="A31" s="221"/>
      <c r="B31" s="219" t="s">
        <v>11</v>
      </c>
      <c r="C31" s="218">
        <v>50</v>
      </c>
      <c r="D31" s="220">
        <f>3.04*1.25</f>
        <v>3.8</v>
      </c>
      <c r="E31" s="220">
        <f>0.32*1.25</f>
        <v>0.4</v>
      </c>
      <c r="F31" s="220">
        <f>19.68*1.25</f>
        <v>24.6</v>
      </c>
      <c r="G31" s="220">
        <f>98.34*1.25</f>
        <v>122.92500000000001</v>
      </c>
    </row>
    <row r="32" spans="1:7">
      <c r="A32" s="257" t="s">
        <v>244</v>
      </c>
      <c r="B32" s="257"/>
      <c r="C32" s="216">
        <f>SUM(C28:C31)</f>
        <v>550</v>
      </c>
      <c r="D32" s="220"/>
      <c r="E32" s="220"/>
      <c r="F32" s="220"/>
      <c r="G32" s="220"/>
    </row>
    <row r="33" spans="1:7" ht="27.95" customHeight="1">
      <c r="A33" s="255" t="s">
        <v>238</v>
      </c>
      <c r="B33" s="255"/>
      <c r="C33" s="255"/>
      <c r="D33" s="215">
        <f>D34</f>
        <v>16.690000000000001</v>
      </c>
      <c r="E33" s="215">
        <f>E34</f>
        <v>20.799999999999997</v>
      </c>
      <c r="F33" s="215">
        <f>F34</f>
        <v>84.43</v>
      </c>
      <c r="G33" s="215">
        <f>G34</f>
        <v>601.44499999999994</v>
      </c>
    </row>
    <row r="34" spans="1:7">
      <c r="A34" s="216"/>
      <c r="B34" s="217" t="s">
        <v>66</v>
      </c>
      <c r="C34" s="216"/>
      <c r="D34" s="215">
        <f>D35+D36+D37+D38</f>
        <v>16.690000000000001</v>
      </c>
      <c r="E34" s="215">
        <f>E35+E36+E37+E38</f>
        <v>20.799999999999997</v>
      </c>
      <c r="F34" s="215">
        <f>F35+F36+F37+F38</f>
        <v>84.43</v>
      </c>
      <c r="G34" s="215">
        <f>G35+G36+G37+G38</f>
        <v>601.44499999999994</v>
      </c>
    </row>
    <row r="35" spans="1:7">
      <c r="A35" s="221"/>
      <c r="B35" s="219" t="s">
        <v>41</v>
      </c>
      <c r="C35" s="218">
        <v>100</v>
      </c>
      <c r="D35" s="220">
        <v>0.4</v>
      </c>
      <c r="E35" s="220">
        <v>0</v>
      </c>
      <c r="F35" s="220">
        <v>9.8000000000000007</v>
      </c>
      <c r="G35" s="220">
        <v>42.84</v>
      </c>
    </row>
    <row r="36" spans="1:7">
      <c r="A36" s="221" t="s">
        <v>290</v>
      </c>
      <c r="B36" s="219" t="s">
        <v>294</v>
      </c>
      <c r="C36" s="218">
        <v>200</v>
      </c>
      <c r="D36" s="220">
        <v>12.49</v>
      </c>
      <c r="E36" s="220">
        <v>20.399999999999999</v>
      </c>
      <c r="F36" s="220">
        <v>40.03</v>
      </c>
      <c r="G36" s="220">
        <v>393.68</v>
      </c>
    </row>
    <row r="37" spans="1:7">
      <c r="A37" s="221" t="s">
        <v>176</v>
      </c>
      <c r="B37" s="226" t="s">
        <v>10</v>
      </c>
      <c r="C37" s="218">
        <v>200</v>
      </c>
      <c r="D37" s="220">
        <v>0</v>
      </c>
      <c r="E37" s="220">
        <v>0</v>
      </c>
      <c r="F37" s="220">
        <v>10</v>
      </c>
      <c r="G37" s="220">
        <v>42</v>
      </c>
    </row>
    <row r="38" spans="1:7" ht="15" customHeight="1">
      <c r="A38" s="218"/>
      <c r="B38" s="219" t="s">
        <v>11</v>
      </c>
      <c r="C38" s="218">
        <v>50</v>
      </c>
      <c r="D38" s="220">
        <f>3.04*1.25</f>
        <v>3.8</v>
      </c>
      <c r="E38" s="220">
        <f>0.32*1.25</f>
        <v>0.4</v>
      </c>
      <c r="F38" s="220">
        <f>19.68*1.25</f>
        <v>24.6</v>
      </c>
      <c r="G38" s="220">
        <f>98.34*1.25</f>
        <v>122.92500000000001</v>
      </c>
    </row>
    <row r="39" spans="1:7" ht="15" customHeight="1">
      <c r="A39" s="257" t="s">
        <v>244</v>
      </c>
      <c r="B39" s="257"/>
      <c r="C39" s="216">
        <f>SUM(C35:C38)</f>
        <v>550</v>
      </c>
      <c r="D39" s="220"/>
      <c r="E39" s="220"/>
      <c r="F39" s="220"/>
      <c r="G39" s="220"/>
    </row>
    <row r="40" spans="1:7" ht="27.95" customHeight="1">
      <c r="A40" s="255" t="s">
        <v>239</v>
      </c>
      <c r="B40" s="255"/>
      <c r="C40" s="255"/>
      <c r="D40" s="215">
        <f>D41</f>
        <v>17.061199999999999</v>
      </c>
      <c r="E40" s="215">
        <f>E41</f>
        <v>16.0472</v>
      </c>
      <c r="F40" s="215">
        <f>F41</f>
        <v>90.940000000000012</v>
      </c>
      <c r="G40" s="215">
        <f>G41</f>
        <v>598.76200000000006</v>
      </c>
    </row>
    <row r="41" spans="1:7">
      <c r="A41" s="216"/>
      <c r="B41" s="217" t="s">
        <v>66</v>
      </c>
      <c r="C41" s="216"/>
      <c r="D41" s="215">
        <f>D42+D43+D44+D45</f>
        <v>17.061199999999999</v>
      </c>
      <c r="E41" s="215">
        <f>E42+E43+E44+E45</f>
        <v>16.0472</v>
      </c>
      <c r="F41" s="215">
        <f>F42+F43+F44+F45</f>
        <v>90.940000000000012</v>
      </c>
      <c r="G41" s="215">
        <f>G42+G43+G44+G45</f>
        <v>598.76200000000006</v>
      </c>
    </row>
    <row r="42" spans="1:7">
      <c r="A42" s="218" t="s">
        <v>221</v>
      </c>
      <c r="B42" s="219" t="s">
        <v>150</v>
      </c>
      <c r="C42" s="218">
        <v>105</v>
      </c>
      <c r="D42" s="220">
        <v>6.14</v>
      </c>
      <c r="E42" s="220">
        <v>11.91</v>
      </c>
      <c r="F42" s="220">
        <v>10.92</v>
      </c>
      <c r="G42" s="220">
        <v>178.84</v>
      </c>
    </row>
    <row r="43" spans="1:7">
      <c r="A43" s="218" t="s">
        <v>33</v>
      </c>
      <c r="B43" s="219" t="s">
        <v>12</v>
      </c>
      <c r="C43" s="218">
        <v>200</v>
      </c>
      <c r="D43" s="220">
        <f>5.64*1.33</f>
        <v>7.5011999999999999</v>
      </c>
      <c r="E43" s="220">
        <f>2.84*1.33</f>
        <v>3.7772000000000001</v>
      </c>
      <c r="F43" s="220">
        <f>36*1.33</f>
        <v>47.88</v>
      </c>
      <c r="G43" s="220">
        <f>201*1.33</f>
        <v>267.33000000000004</v>
      </c>
    </row>
    <row r="44" spans="1:7">
      <c r="A44" s="222" t="s">
        <v>176</v>
      </c>
      <c r="B44" s="219" t="s">
        <v>10</v>
      </c>
      <c r="C44" s="222">
        <v>200</v>
      </c>
      <c r="D44" s="220">
        <v>0</v>
      </c>
      <c r="E44" s="220">
        <v>0</v>
      </c>
      <c r="F44" s="220">
        <v>10</v>
      </c>
      <c r="G44" s="220">
        <v>42</v>
      </c>
    </row>
    <row r="45" spans="1:7" ht="13.5" customHeight="1">
      <c r="A45" s="221"/>
      <c r="B45" s="226" t="s">
        <v>11</v>
      </c>
      <c r="C45" s="221">
        <v>45</v>
      </c>
      <c r="D45" s="224">
        <v>3.42</v>
      </c>
      <c r="E45" s="224">
        <v>0.36</v>
      </c>
      <c r="F45" s="224">
        <v>22.14</v>
      </c>
      <c r="G45" s="224">
        <v>110.592</v>
      </c>
    </row>
    <row r="46" spans="1:7">
      <c r="A46" s="257" t="s">
        <v>244</v>
      </c>
      <c r="B46" s="257"/>
      <c r="C46" s="216">
        <f>SUM(C42:C45)</f>
        <v>550</v>
      </c>
      <c r="D46" s="220"/>
      <c r="E46" s="220"/>
      <c r="F46" s="220"/>
      <c r="G46" s="220"/>
    </row>
    <row r="47" spans="1:7" ht="27.95" customHeight="1">
      <c r="A47" s="255" t="s">
        <v>240</v>
      </c>
      <c r="B47" s="255"/>
      <c r="C47" s="255"/>
      <c r="D47" s="215">
        <f>D48</f>
        <v>12.399999999999999</v>
      </c>
      <c r="E47" s="215">
        <f>E48</f>
        <v>10.6</v>
      </c>
      <c r="F47" s="215">
        <f>F48</f>
        <v>94.420000000000016</v>
      </c>
      <c r="G47" s="215">
        <f>G48</f>
        <v>544.08500000000004</v>
      </c>
    </row>
    <row r="48" spans="1:7">
      <c r="A48" s="216"/>
      <c r="B48" s="217" t="s">
        <v>66</v>
      </c>
      <c r="C48" s="216"/>
      <c r="D48" s="215">
        <f>D49+D50+D51+D52</f>
        <v>12.399999999999999</v>
      </c>
      <c r="E48" s="215">
        <f>E49+E50+E51+E52</f>
        <v>10.6</v>
      </c>
      <c r="F48" s="215">
        <f>F49+F50+F51+F52</f>
        <v>94.420000000000016</v>
      </c>
      <c r="G48" s="215">
        <f>G49+G50+G52+G51</f>
        <v>544.08500000000004</v>
      </c>
    </row>
    <row r="49" spans="1:26">
      <c r="A49" s="218"/>
      <c r="B49" s="219" t="s">
        <v>41</v>
      </c>
      <c r="C49" s="218">
        <v>100</v>
      </c>
      <c r="D49" s="220">
        <v>0.4</v>
      </c>
      <c r="E49" s="220">
        <v>0</v>
      </c>
      <c r="F49" s="220">
        <v>9.8000000000000007</v>
      </c>
      <c r="G49" s="220">
        <v>42.84</v>
      </c>
    </row>
    <row r="50" spans="1:26" ht="24.75" customHeight="1">
      <c r="A50" s="218" t="s">
        <v>174</v>
      </c>
      <c r="B50" s="219" t="s">
        <v>198</v>
      </c>
      <c r="C50" s="218">
        <v>203</v>
      </c>
      <c r="D50" s="220">
        <v>8.1999999999999993</v>
      </c>
      <c r="E50" s="220">
        <v>10.199999999999999</v>
      </c>
      <c r="F50" s="220">
        <v>50.02</v>
      </c>
      <c r="G50" s="220">
        <v>336.32</v>
      </c>
      <c r="H50" s="192"/>
      <c r="I50" s="192"/>
      <c r="J50" s="192"/>
      <c r="K50" s="192"/>
      <c r="L50" s="192"/>
      <c r="M50" s="192"/>
      <c r="N50" s="193"/>
      <c r="O50" s="192"/>
      <c r="P50" s="192"/>
      <c r="Q50" s="192"/>
      <c r="R50" s="192"/>
      <c r="S50" s="192"/>
    </row>
    <row r="51" spans="1:26" ht="12" customHeight="1">
      <c r="A51" s="221" t="s">
        <v>176</v>
      </c>
      <c r="B51" s="219" t="s">
        <v>10</v>
      </c>
      <c r="C51" s="218">
        <v>200</v>
      </c>
      <c r="D51" s="220">
        <v>0</v>
      </c>
      <c r="E51" s="220">
        <v>0</v>
      </c>
      <c r="F51" s="220">
        <v>10</v>
      </c>
      <c r="G51" s="220">
        <v>42</v>
      </c>
      <c r="H51" s="192"/>
      <c r="I51" s="192"/>
      <c r="J51" s="192"/>
      <c r="K51" s="192"/>
      <c r="L51" s="192"/>
      <c r="M51" s="192"/>
      <c r="N51" s="193"/>
      <c r="O51" s="192"/>
      <c r="P51" s="192"/>
      <c r="Q51" s="192"/>
      <c r="R51" s="192"/>
      <c r="S51" s="192"/>
    </row>
    <row r="52" spans="1:26">
      <c r="A52" s="222"/>
      <c r="B52" s="219" t="s">
        <v>11</v>
      </c>
      <c r="C52" s="218">
        <v>50</v>
      </c>
      <c r="D52" s="220">
        <f>3.04*1.25</f>
        <v>3.8</v>
      </c>
      <c r="E52" s="220">
        <f>0.32*1.25</f>
        <v>0.4</v>
      </c>
      <c r="F52" s="220">
        <f>19.68*1.25</f>
        <v>24.6</v>
      </c>
      <c r="G52" s="220">
        <f>98.34*1.25</f>
        <v>122.92500000000001</v>
      </c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</row>
    <row r="53" spans="1:26">
      <c r="A53" s="257" t="s">
        <v>244</v>
      </c>
      <c r="B53" s="257"/>
      <c r="C53" s="223">
        <f>SUM(C49:C52)</f>
        <v>553</v>
      </c>
      <c r="D53" s="224"/>
      <c r="E53" s="224"/>
      <c r="F53" s="224"/>
      <c r="G53" s="224"/>
    </row>
    <row r="54" spans="1:26" ht="27.95" customHeight="1">
      <c r="A54" s="255" t="s">
        <v>64</v>
      </c>
      <c r="B54" s="255"/>
      <c r="C54" s="255"/>
      <c r="D54" s="215">
        <f>D55</f>
        <v>21.692000000000004</v>
      </c>
      <c r="E54" s="215">
        <f>E55</f>
        <v>14.133999999999999</v>
      </c>
      <c r="F54" s="215">
        <f>F55</f>
        <v>108.07</v>
      </c>
      <c r="G54" s="215">
        <f>G55</f>
        <v>672.79700000000003</v>
      </c>
    </row>
    <row r="55" spans="1:26">
      <c r="A55" s="216"/>
      <c r="B55" s="217" t="s">
        <v>66</v>
      </c>
      <c r="C55" s="216"/>
      <c r="D55" s="215">
        <f>D56+D57+D58+D59+D60</f>
        <v>21.692000000000004</v>
      </c>
      <c r="E55" s="215">
        <f>E56+E57+E58+E59+E60</f>
        <v>14.133999999999999</v>
      </c>
      <c r="F55" s="215">
        <f>F56+F57+F58+F59+F60</f>
        <v>108.07</v>
      </c>
      <c r="G55" s="215">
        <f>G56+G57+G58+G59+G60</f>
        <v>672.79700000000003</v>
      </c>
    </row>
    <row r="56" spans="1:26" ht="17.25" customHeight="1">
      <c r="A56" s="221" t="s">
        <v>295</v>
      </c>
      <c r="B56" s="219" t="s">
        <v>296</v>
      </c>
      <c r="C56" s="218">
        <v>100</v>
      </c>
      <c r="D56" s="220">
        <v>11.81</v>
      </c>
      <c r="E56" s="220">
        <v>8.11</v>
      </c>
      <c r="F56" s="220">
        <v>4.87</v>
      </c>
      <c r="G56" s="220">
        <v>143.05000000000001</v>
      </c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</row>
    <row r="57" spans="1:26" ht="13.5" customHeight="1">
      <c r="A57" s="221" t="s">
        <v>183</v>
      </c>
      <c r="B57" s="219" t="s">
        <v>157</v>
      </c>
      <c r="C57" s="218">
        <v>180</v>
      </c>
      <c r="D57" s="220">
        <f>3.81*1.2</f>
        <v>4.5720000000000001</v>
      </c>
      <c r="E57" s="220">
        <f>2.72*1.2</f>
        <v>3.2640000000000002</v>
      </c>
      <c r="F57" s="220">
        <f>40*1.2</f>
        <v>48</v>
      </c>
      <c r="G57" s="220">
        <f>208.48*1.2</f>
        <v>250.17599999999999</v>
      </c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</row>
    <row r="58" spans="1:26" ht="14.25" customHeight="1">
      <c r="A58" s="221"/>
      <c r="B58" s="219" t="s">
        <v>62</v>
      </c>
      <c r="C58" s="218">
        <v>20</v>
      </c>
      <c r="D58" s="220">
        <v>1.5</v>
      </c>
      <c r="E58" s="220">
        <v>2.36</v>
      </c>
      <c r="F58" s="220">
        <v>14.98</v>
      </c>
      <c r="G58" s="220">
        <v>91</v>
      </c>
      <c r="H58" s="195"/>
      <c r="I58" s="195"/>
      <c r="J58" s="183"/>
      <c r="K58" s="195"/>
      <c r="L58" s="195"/>
      <c r="M58" s="183"/>
      <c r="N58" s="195"/>
      <c r="O58" s="195"/>
      <c r="P58" s="183"/>
      <c r="Q58" s="195"/>
      <c r="R58" s="195"/>
      <c r="S58" s="195"/>
      <c r="T58" s="195"/>
      <c r="U58" s="195"/>
      <c r="V58" s="195"/>
      <c r="W58" s="195"/>
      <c r="X58" s="195"/>
      <c r="Y58" s="195"/>
      <c r="Z58" s="195"/>
    </row>
    <row r="59" spans="1:26" ht="14.25" customHeight="1">
      <c r="A59" s="221" t="s">
        <v>223</v>
      </c>
      <c r="B59" s="219" t="s">
        <v>158</v>
      </c>
      <c r="C59" s="218">
        <v>200</v>
      </c>
      <c r="D59" s="220">
        <v>0.01</v>
      </c>
      <c r="E59" s="220"/>
      <c r="F59" s="220">
        <v>15.62</v>
      </c>
      <c r="G59" s="220">
        <v>65.646000000000001</v>
      </c>
      <c r="H59" s="195"/>
      <c r="I59" s="195"/>
      <c r="J59" s="183"/>
      <c r="K59" s="195"/>
      <c r="L59" s="195"/>
      <c r="M59" s="183"/>
      <c r="N59" s="195"/>
      <c r="O59" s="195"/>
      <c r="P59" s="183"/>
      <c r="Q59" s="195"/>
      <c r="R59" s="195"/>
      <c r="S59" s="195"/>
      <c r="T59" s="195"/>
      <c r="U59" s="195"/>
      <c r="V59" s="195"/>
      <c r="W59" s="195"/>
      <c r="X59" s="195"/>
      <c r="Y59" s="195"/>
      <c r="Z59" s="195"/>
    </row>
    <row r="60" spans="1:26" ht="14.25" customHeight="1">
      <c r="A60" s="218"/>
      <c r="B60" s="219" t="s">
        <v>11</v>
      </c>
      <c r="C60" s="218">
        <v>50</v>
      </c>
      <c r="D60" s="220">
        <f>3.04*1.25</f>
        <v>3.8</v>
      </c>
      <c r="E60" s="220">
        <f>0.32*1.25</f>
        <v>0.4</v>
      </c>
      <c r="F60" s="220">
        <f>19.68*1.25</f>
        <v>24.6</v>
      </c>
      <c r="G60" s="220">
        <f>98.34*1.25</f>
        <v>122.92500000000001</v>
      </c>
      <c r="H60" s="196"/>
      <c r="I60" s="195"/>
      <c r="J60" s="196"/>
      <c r="K60" s="195"/>
      <c r="L60" s="195"/>
      <c r="M60" s="196"/>
      <c r="N60" s="183"/>
      <c r="O60" s="183"/>
      <c r="P60" s="183"/>
      <c r="Q60" s="183"/>
      <c r="R60" s="183"/>
      <c r="S60" s="183"/>
      <c r="T60" s="183"/>
      <c r="U60" s="183"/>
      <c r="V60" s="183"/>
      <c r="W60" s="195"/>
      <c r="X60" s="183"/>
      <c r="Y60" s="183"/>
      <c r="Z60" s="196"/>
    </row>
    <row r="61" spans="1:26" ht="15" customHeight="1">
      <c r="A61" s="257" t="s">
        <v>244</v>
      </c>
      <c r="B61" s="257"/>
      <c r="C61" s="223">
        <f>SUM(C56:C60)</f>
        <v>550</v>
      </c>
      <c r="D61" s="224"/>
      <c r="E61" s="224"/>
      <c r="F61" s="224"/>
      <c r="G61" s="224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</row>
    <row r="62" spans="1:26" ht="27.95" customHeight="1">
      <c r="A62" s="255" t="s">
        <v>241</v>
      </c>
      <c r="B62" s="255"/>
      <c r="C62" s="255"/>
      <c r="D62" s="215">
        <f>D63</f>
        <v>19.621199999999998</v>
      </c>
      <c r="E62" s="215">
        <f>E63</f>
        <v>15.2972</v>
      </c>
      <c r="F62" s="215">
        <f>F63</f>
        <v>83.36</v>
      </c>
      <c r="G62" s="215">
        <f>G63</f>
        <v>570.96600000000001</v>
      </c>
    </row>
    <row r="63" spans="1:26">
      <c r="A63" s="216"/>
      <c r="B63" s="217" t="s">
        <v>66</v>
      </c>
      <c r="C63" s="216"/>
      <c r="D63" s="215">
        <f>D64+D65+D66+D67</f>
        <v>19.621199999999998</v>
      </c>
      <c r="E63" s="215">
        <f>E64+E65+E66+E67</f>
        <v>15.2972</v>
      </c>
      <c r="F63" s="215">
        <f>F64+F65+F66+F67</f>
        <v>83.36</v>
      </c>
      <c r="G63" s="215">
        <f>G64+G65+G66+G67</f>
        <v>570.96600000000001</v>
      </c>
    </row>
    <row r="64" spans="1:26">
      <c r="A64" s="218" t="s">
        <v>224</v>
      </c>
      <c r="B64" s="219" t="s">
        <v>162</v>
      </c>
      <c r="C64" s="218">
        <v>110</v>
      </c>
      <c r="D64" s="220">
        <v>9.08</v>
      </c>
      <c r="E64" s="220">
        <v>11.2</v>
      </c>
      <c r="F64" s="220">
        <v>5.8</v>
      </c>
      <c r="G64" s="220">
        <v>163.29599999999999</v>
      </c>
    </row>
    <row r="65" spans="1:27">
      <c r="A65" s="218" t="s">
        <v>33</v>
      </c>
      <c r="B65" s="219" t="s">
        <v>12</v>
      </c>
      <c r="C65" s="218">
        <v>200</v>
      </c>
      <c r="D65" s="220">
        <f>5.64*1.33</f>
        <v>7.5011999999999999</v>
      </c>
      <c r="E65" s="220">
        <f>2.84*1.33</f>
        <v>3.7772000000000001</v>
      </c>
      <c r="F65" s="220">
        <f>36*1.33</f>
        <v>47.88</v>
      </c>
      <c r="G65" s="220">
        <f>201*1.33</f>
        <v>267.33000000000004</v>
      </c>
    </row>
    <row r="66" spans="1:27">
      <c r="A66" s="221" t="s">
        <v>176</v>
      </c>
      <c r="B66" s="219" t="s">
        <v>10</v>
      </c>
      <c r="C66" s="222">
        <v>200</v>
      </c>
      <c r="D66" s="220">
        <v>0</v>
      </c>
      <c r="E66" s="220">
        <v>0</v>
      </c>
      <c r="F66" s="220">
        <v>10</v>
      </c>
      <c r="G66" s="220">
        <v>42</v>
      </c>
    </row>
    <row r="67" spans="1:27">
      <c r="A67" s="221"/>
      <c r="B67" s="226" t="s">
        <v>11</v>
      </c>
      <c r="C67" s="221">
        <v>40</v>
      </c>
      <c r="D67" s="224">
        <v>3.04</v>
      </c>
      <c r="E67" s="224">
        <v>0.32</v>
      </c>
      <c r="F67" s="224">
        <v>19.68</v>
      </c>
      <c r="G67" s="224">
        <v>98.34</v>
      </c>
    </row>
    <row r="68" spans="1:27">
      <c r="A68" s="257" t="s">
        <v>244</v>
      </c>
      <c r="B68" s="257"/>
      <c r="C68" s="228">
        <f>SUM(C64:C67)</f>
        <v>550</v>
      </c>
      <c r="D68" s="220"/>
      <c r="E68" s="220"/>
      <c r="F68" s="220"/>
      <c r="G68" s="220"/>
    </row>
    <row r="69" spans="1:27" ht="27.95" customHeight="1">
      <c r="A69" s="255" t="s">
        <v>242</v>
      </c>
      <c r="B69" s="255"/>
      <c r="C69" s="255"/>
      <c r="D69" s="215">
        <f>D70</f>
        <v>35.653599999999997</v>
      </c>
      <c r="E69" s="215">
        <f>E70</f>
        <v>14.3833</v>
      </c>
      <c r="F69" s="215">
        <f>F70</f>
        <v>83.43</v>
      </c>
      <c r="G69" s="215">
        <f>G70</f>
        <v>629.6869999999999</v>
      </c>
    </row>
    <row r="70" spans="1:27">
      <c r="A70" s="216"/>
      <c r="B70" s="217" t="s">
        <v>66</v>
      </c>
      <c r="C70" s="216"/>
      <c r="D70" s="215">
        <f>D71+D72+D73+D74+D75</f>
        <v>35.653599999999997</v>
      </c>
      <c r="E70" s="215">
        <f>E71+E72+E73+E74+E75</f>
        <v>14.3833</v>
      </c>
      <c r="F70" s="215">
        <f>F71+F72+F73+F74+F75</f>
        <v>83.43</v>
      </c>
      <c r="G70" s="215">
        <f>G71+G72+G73+G74+G75</f>
        <v>629.6869999999999</v>
      </c>
    </row>
    <row r="71" spans="1:27" ht="12.75" customHeight="1">
      <c r="A71" s="218"/>
      <c r="B71" s="219" t="s">
        <v>166</v>
      </c>
      <c r="C71" s="218">
        <v>40</v>
      </c>
      <c r="D71" s="220">
        <v>5.08</v>
      </c>
      <c r="E71" s="220">
        <v>4.5999999999999996</v>
      </c>
      <c r="F71" s="220">
        <v>0.28000000000000003</v>
      </c>
      <c r="G71" s="220">
        <v>63.911999999999999</v>
      </c>
    </row>
    <row r="72" spans="1:27" ht="25.5">
      <c r="A72" s="218" t="s">
        <v>39</v>
      </c>
      <c r="B72" s="241" t="s">
        <v>254</v>
      </c>
      <c r="C72" s="242">
        <v>160</v>
      </c>
      <c r="D72" s="243">
        <f>18.92*1.33+0.06</f>
        <v>25.223600000000001</v>
      </c>
      <c r="E72" s="243">
        <f>7.01*1.33+0.06</f>
        <v>9.3833000000000002</v>
      </c>
      <c r="F72" s="243">
        <f>15*1.33+16.77</f>
        <v>36.72</v>
      </c>
      <c r="G72" s="243">
        <v>344.61</v>
      </c>
    </row>
    <row r="73" spans="1:27">
      <c r="A73" s="218"/>
      <c r="B73" s="219" t="s">
        <v>41</v>
      </c>
      <c r="C73" s="218">
        <v>100</v>
      </c>
      <c r="D73" s="220">
        <v>0.4</v>
      </c>
      <c r="E73" s="220">
        <v>0</v>
      </c>
      <c r="F73" s="220">
        <v>9.8000000000000007</v>
      </c>
      <c r="G73" s="220">
        <v>42.84</v>
      </c>
    </row>
    <row r="74" spans="1:27">
      <c r="A74" s="218" t="s">
        <v>42</v>
      </c>
      <c r="B74" s="219" t="s">
        <v>216</v>
      </c>
      <c r="C74" s="218">
        <v>200</v>
      </c>
      <c r="D74" s="220">
        <v>1.1499999999999999</v>
      </c>
      <c r="E74" s="220"/>
      <c r="F74" s="220">
        <v>12.03</v>
      </c>
      <c r="G74" s="220">
        <v>55.4</v>
      </c>
    </row>
    <row r="75" spans="1:27">
      <c r="A75" s="221"/>
      <c r="B75" s="219" t="s">
        <v>11</v>
      </c>
      <c r="C75" s="218">
        <v>50</v>
      </c>
      <c r="D75" s="220">
        <f>3.04*1.25</f>
        <v>3.8</v>
      </c>
      <c r="E75" s="220">
        <f>0.32*1.25</f>
        <v>0.4</v>
      </c>
      <c r="F75" s="220">
        <f>19.68*1.25</f>
        <v>24.6</v>
      </c>
      <c r="G75" s="220">
        <f>98.34*1.25</f>
        <v>122.92500000000001</v>
      </c>
    </row>
    <row r="76" spans="1:27">
      <c r="A76" s="257" t="s">
        <v>244</v>
      </c>
      <c r="B76" s="257"/>
      <c r="C76" s="216">
        <f>SUM(C71:C75)</f>
        <v>550</v>
      </c>
      <c r="D76" s="220"/>
      <c r="E76" s="220"/>
      <c r="F76" s="220"/>
      <c r="G76" s="220"/>
    </row>
    <row r="77" spans="1:27" ht="27.95" customHeight="1">
      <c r="A77" s="255" t="s">
        <v>243</v>
      </c>
      <c r="B77" s="255"/>
      <c r="C77" s="255"/>
      <c r="D77" s="215">
        <f>D78</f>
        <v>26.381999999999998</v>
      </c>
      <c r="E77" s="215">
        <f>E78</f>
        <v>13.664000000000001</v>
      </c>
      <c r="F77" s="215">
        <f>F78</f>
        <v>87.740000000000009</v>
      </c>
      <c r="G77" s="215">
        <f>G78</f>
        <v>603.101</v>
      </c>
      <c r="H77" s="212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200"/>
    </row>
    <row r="78" spans="1:27">
      <c r="A78" s="216"/>
      <c r="B78" s="217" t="s">
        <v>66</v>
      </c>
      <c r="C78" s="216"/>
      <c r="D78" s="215">
        <f>D79+D80+D81+D82+D83</f>
        <v>26.381999999999998</v>
      </c>
      <c r="E78" s="215">
        <f>E79+E80+E81+E82+E83</f>
        <v>13.664000000000001</v>
      </c>
      <c r="F78" s="215">
        <f>F79+F80+F81+F82+F83</f>
        <v>87.740000000000009</v>
      </c>
      <c r="G78" s="215">
        <f>G79+G80+G81+G82+G83</f>
        <v>603.101</v>
      </c>
      <c r="H78" s="212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200"/>
    </row>
    <row r="79" spans="1:27">
      <c r="A79" s="218" t="s">
        <v>225</v>
      </c>
      <c r="B79" s="219" t="s">
        <v>168</v>
      </c>
      <c r="C79" s="218">
        <v>100</v>
      </c>
      <c r="D79" s="220">
        <v>17.829999999999998</v>
      </c>
      <c r="E79" s="220">
        <v>7.99</v>
      </c>
      <c r="F79" s="220">
        <v>4.25</v>
      </c>
      <c r="G79" s="220">
        <v>165</v>
      </c>
      <c r="H79" s="195"/>
      <c r="I79" s="195"/>
      <c r="J79" s="195"/>
      <c r="K79" s="195"/>
      <c r="L79" s="195"/>
      <c r="M79" s="195"/>
      <c r="N79" s="195"/>
      <c r="O79" s="195"/>
      <c r="P79" s="183"/>
      <c r="Q79" s="195"/>
      <c r="R79" s="195"/>
      <c r="S79" s="195"/>
      <c r="T79" s="195"/>
      <c r="U79" s="195"/>
      <c r="V79" s="195"/>
      <c r="W79" s="195"/>
      <c r="X79" s="195"/>
      <c r="Y79" s="195"/>
      <c r="Z79" s="195"/>
    </row>
    <row r="80" spans="1:27">
      <c r="A80" s="221" t="s">
        <v>183</v>
      </c>
      <c r="B80" s="219" t="s">
        <v>157</v>
      </c>
      <c r="C80" s="218">
        <v>180</v>
      </c>
      <c r="D80" s="220">
        <f>3.81*1.2</f>
        <v>4.5720000000000001</v>
      </c>
      <c r="E80" s="220">
        <f>2.72*1.2</f>
        <v>3.2640000000000002</v>
      </c>
      <c r="F80" s="220">
        <f>40*1.2</f>
        <v>48</v>
      </c>
      <c r="G80" s="220">
        <f>208.48*1.2</f>
        <v>250.17599999999999</v>
      </c>
      <c r="H80" s="195"/>
      <c r="I80" s="195"/>
      <c r="J80" s="195"/>
      <c r="K80" s="195"/>
      <c r="L80" s="195"/>
      <c r="M80" s="195"/>
      <c r="N80" s="183"/>
      <c r="O80" s="183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</row>
    <row r="81" spans="1:26">
      <c r="A81" s="222" t="s">
        <v>185</v>
      </c>
      <c r="B81" s="219" t="s">
        <v>169</v>
      </c>
      <c r="C81" s="218">
        <v>20</v>
      </c>
      <c r="D81" s="220">
        <v>0.18</v>
      </c>
      <c r="E81" s="220">
        <v>2.0099999999999998</v>
      </c>
      <c r="F81" s="220">
        <v>0.89</v>
      </c>
      <c r="G81" s="220">
        <v>23</v>
      </c>
      <c r="H81" s="195"/>
      <c r="I81" s="195"/>
      <c r="J81" s="183"/>
      <c r="K81" s="195"/>
      <c r="L81" s="195"/>
      <c r="M81" s="195"/>
      <c r="N81" s="195"/>
      <c r="O81" s="195"/>
      <c r="P81" s="183"/>
      <c r="Q81" s="183"/>
      <c r="R81" s="183"/>
      <c r="S81" s="183"/>
      <c r="T81" s="183"/>
      <c r="U81" s="183"/>
      <c r="V81" s="183"/>
      <c r="W81" s="195"/>
      <c r="X81" s="183"/>
      <c r="Y81" s="183"/>
      <c r="Z81" s="195"/>
    </row>
    <row r="82" spans="1:26">
      <c r="A82" s="221" t="s">
        <v>176</v>
      </c>
      <c r="B82" s="219" t="s">
        <v>10</v>
      </c>
      <c r="C82" s="222">
        <v>200</v>
      </c>
      <c r="D82" s="220">
        <v>0</v>
      </c>
      <c r="E82" s="220">
        <v>0</v>
      </c>
      <c r="F82" s="220">
        <v>10</v>
      </c>
      <c r="G82" s="220">
        <v>42</v>
      </c>
      <c r="H82" s="195"/>
      <c r="I82" s="195"/>
      <c r="J82" s="183"/>
      <c r="K82" s="195"/>
      <c r="L82" s="195"/>
      <c r="M82" s="195"/>
      <c r="N82" s="195"/>
      <c r="O82" s="195"/>
      <c r="P82" s="183"/>
      <c r="Q82" s="183"/>
      <c r="R82" s="183"/>
      <c r="S82" s="183"/>
      <c r="T82" s="183"/>
      <c r="U82" s="183"/>
      <c r="V82" s="183"/>
      <c r="W82" s="195"/>
      <c r="X82" s="183"/>
      <c r="Y82" s="183"/>
      <c r="Z82" s="195"/>
    </row>
    <row r="83" spans="1:26">
      <c r="A83" s="221"/>
      <c r="B83" s="219" t="s">
        <v>11</v>
      </c>
      <c r="C83" s="218">
        <v>50</v>
      </c>
      <c r="D83" s="220">
        <f>3.04*1.25</f>
        <v>3.8</v>
      </c>
      <c r="E83" s="220">
        <f>0.32*1.25</f>
        <v>0.4</v>
      </c>
      <c r="F83" s="220">
        <f>19.68*1.25</f>
        <v>24.6</v>
      </c>
      <c r="G83" s="220">
        <f>98.34*1.25</f>
        <v>122.92500000000001</v>
      </c>
      <c r="H83" s="196"/>
      <c r="I83" s="195"/>
      <c r="J83" s="196"/>
      <c r="K83" s="195"/>
      <c r="L83" s="195"/>
      <c r="M83" s="196"/>
      <c r="N83" s="183"/>
      <c r="O83" s="183"/>
      <c r="P83" s="183"/>
      <c r="Q83" s="183"/>
      <c r="R83" s="183"/>
      <c r="S83" s="183"/>
      <c r="T83" s="183"/>
      <c r="U83" s="183"/>
      <c r="V83" s="183"/>
      <c r="W83" s="195"/>
      <c r="X83" s="183"/>
      <c r="Y83" s="183"/>
      <c r="Z83" s="196"/>
    </row>
    <row r="84" spans="1:26">
      <c r="A84" s="257" t="s">
        <v>244</v>
      </c>
      <c r="B84" s="257"/>
      <c r="C84" s="228">
        <f>SUM(C79:C83)</f>
        <v>550</v>
      </c>
      <c r="D84" s="218"/>
      <c r="E84" s="218"/>
      <c r="F84" s="218"/>
      <c r="G84" s="218"/>
      <c r="H84" s="213"/>
      <c r="I84" s="201"/>
      <c r="J84" s="202"/>
      <c r="K84" s="201"/>
      <c r="L84" s="201"/>
      <c r="M84" s="201"/>
      <c r="N84" s="203"/>
      <c r="O84" s="203"/>
      <c r="P84" s="202"/>
      <c r="Q84" s="202"/>
      <c r="R84" s="202"/>
      <c r="S84" s="202"/>
      <c r="T84" s="202"/>
      <c r="U84" s="202"/>
      <c r="V84" s="202"/>
      <c r="W84" s="203"/>
      <c r="X84" s="202"/>
      <c r="Y84" s="202"/>
      <c r="Z84" s="203"/>
    </row>
    <row r="85" spans="1:26">
      <c r="A85" s="255" t="s">
        <v>255</v>
      </c>
      <c r="B85" s="255"/>
      <c r="C85" s="255"/>
      <c r="D85" s="215">
        <f>D86</f>
        <v>18.21</v>
      </c>
      <c r="E85" s="215">
        <f>E86</f>
        <v>19.13</v>
      </c>
      <c r="F85" s="215">
        <f>F86</f>
        <v>102.99000000000001</v>
      </c>
      <c r="G85" s="215">
        <f>G86</f>
        <v>682.25</v>
      </c>
    </row>
    <row r="86" spans="1:26">
      <c r="A86" s="216"/>
      <c r="B86" s="217" t="s">
        <v>66</v>
      </c>
      <c r="C86" s="216"/>
      <c r="D86" s="215">
        <f>D87+D88+D89+D90+D91+D92</f>
        <v>18.21</v>
      </c>
      <c r="E86" s="215">
        <f>E87+E88+E89+E90+E91+E92</f>
        <v>19.13</v>
      </c>
      <c r="F86" s="215">
        <f>F87+F88+F89+F90+F91+F92</f>
        <v>102.99000000000001</v>
      </c>
      <c r="G86" s="215">
        <f>G87+G88+G89+G90+G91+G92</f>
        <v>682.25</v>
      </c>
    </row>
    <row r="87" spans="1:26">
      <c r="A87" s="218" t="s">
        <v>175</v>
      </c>
      <c r="B87" s="219" t="s">
        <v>35</v>
      </c>
      <c r="C87" s="218">
        <v>10</v>
      </c>
      <c r="D87" s="220">
        <v>2.6</v>
      </c>
      <c r="E87" s="220">
        <v>2.65</v>
      </c>
      <c r="F87" s="220">
        <v>0.35</v>
      </c>
      <c r="G87" s="220">
        <v>36.24</v>
      </c>
    </row>
    <row r="88" spans="1:26">
      <c r="A88" s="218" t="s">
        <v>173</v>
      </c>
      <c r="B88" s="219" t="s">
        <v>136</v>
      </c>
      <c r="C88" s="218">
        <v>5</v>
      </c>
      <c r="D88" s="220">
        <v>0.05</v>
      </c>
      <c r="E88" s="220">
        <v>3.63</v>
      </c>
      <c r="F88" s="220">
        <v>7.0000000000000007E-2</v>
      </c>
      <c r="G88" s="220">
        <v>33.11</v>
      </c>
    </row>
    <row r="89" spans="1:26" ht="25.5">
      <c r="A89" s="218" t="s">
        <v>174</v>
      </c>
      <c r="B89" s="219" t="s">
        <v>201</v>
      </c>
      <c r="C89" s="218">
        <v>255</v>
      </c>
      <c r="D89" s="220">
        <v>9.52</v>
      </c>
      <c r="E89" s="220">
        <v>7.81</v>
      </c>
      <c r="F89" s="220">
        <v>42.93</v>
      </c>
      <c r="G89" s="220">
        <v>290.56</v>
      </c>
    </row>
    <row r="90" spans="1:26">
      <c r="A90" s="218"/>
      <c r="B90" s="219" t="s">
        <v>62</v>
      </c>
      <c r="C90" s="218">
        <v>40</v>
      </c>
      <c r="D90" s="220">
        <v>3</v>
      </c>
      <c r="E90" s="220">
        <v>4.72</v>
      </c>
      <c r="F90" s="220">
        <v>29.96</v>
      </c>
      <c r="G90" s="220">
        <v>182</v>
      </c>
    </row>
    <row r="91" spans="1:26">
      <c r="A91" s="221" t="s">
        <v>176</v>
      </c>
      <c r="B91" s="219" t="s">
        <v>10</v>
      </c>
      <c r="C91" s="222">
        <v>200</v>
      </c>
      <c r="D91" s="220">
        <v>0</v>
      </c>
      <c r="E91" s="220">
        <v>0</v>
      </c>
      <c r="F91" s="220">
        <v>10</v>
      </c>
      <c r="G91" s="220">
        <v>42</v>
      </c>
    </row>
    <row r="92" spans="1:26">
      <c r="A92" s="218"/>
      <c r="B92" s="219" t="s">
        <v>11</v>
      </c>
      <c r="C92" s="218">
        <v>40</v>
      </c>
      <c r="D92" s="220">
        <v>3.04</v>
      </c>
      <c r="E92" s="220">
        <v>0.32</v>
      </c>
      <c r="F92" s="220">
        <v>19.68</v>
      </c>
      <c r="G92" s="220">
        <v>98.34</v>
      </c>
    </row>
    <row r="93" spans="1:26">
      <c r="A93" s="253" t="s">
        <v>244</v>
      </c>
      <c r="B93" s="254"/>
      <c r="C93" s="223">
        <f>SUM(C87:C92)</f>
        <v>550</v>
      </c>
      <c r="D93" s="224"/>
      <c r="E93" s="224"/>
      <c r="F93" s="224"/>
      <c r="G93" s="224"/>
    </row>
    <row r="94" spans="1:26">
      <c r="A94" s="255" t="s">
        <v>256</v>
      </c>
      <c r="B94" s="255"/>
      <c r="C94" s="255"/>
      <c r="D94" s="215">
        <f>D95</f>
        <v>28.796399999999998</v>
      </c>
      <c r="E94" s="215">
        <f>E95</f>
        <v>19.804600000000001</v>
      </c>
      <c r="F94" s="215">
        <f>F95</f>
        <v>104.0213</v>
      </c>
      <c r="G94" s="215">
        <f>G95</f>
        <v>736.20499999999993</v>
      </c>
    </row>
    <row r="95" spans="1:26">
      <c r="A95" s="216"/>
      <c r="B95" s="217" t="s">
        <v>66</v>
      </c>
      <c r="C95" s="216"/>
      <c r="D95" s="215">
        <f>D96+D97+D98+D99+D100</f>
        <v>28.796399999999998</v>
      </c>
      <c r="E95" s="215">
        <f>E96+E97+E98+E99+E100</f>
        <v>19.804600000000001</v>
      </c>
      <c r="F95" s="215">
        <f>F96+F97+F98+F99+F100</f>
        <v>104.0213</v>
      </c>
      <c r="G95" s="215">
        <f>G96+G97+G98+G99+G100</f>
        <v>736.20499999999993</v>
      </c>
    </row>
    <row r="96" spans="1:26">
      <c r="A96" s="218" t="s">
        <v>131</v>
      </c>
      <c r="B96" s="219" t="s">
        <v>146</v>
      </c>
      <c r="C96" s="218">
        <v>100</v>
      </c>
      <c r="D96" s="220">
        <f>11.84*1.11</f>
        <v>13.1424</v>
      </c>
      <c r="E96" s="220">
        <f>10.06*1.11</f>
        <v>11.166600000000001</v>
      </c>
      <c r="F96" s="220">
        <f>16.03*1.11</f>
        <v>17.793300000000002</v>
      </c>
      <c r="G96" s="220">
        <f>208*1.11</f>
        <v>230.88000000000002</v>
      </c>
    </row>
    <row r="97" spans="1:7">
      <c r="A97" s="221" t="s">
        <v>38</v>
      </c>
      <c r="B97" s="219" t="s">
        <v>36</v>
      </c>
      <c r="C97" s="218">
        <v>180</v>
      </c>
      <c r="D97" s="220">
        <f>8.77*1.2</f>
        <v>10.523999999999999</v>
      </c>
      <c r="E97" s="220">
        <f>5.19*1.2</f>
        <v>6.2280000000000006</v>
      </c>
      <c r="F97" s="220">
        <f>39.6*1.23</f>
        <v>48.707999999999998</v>
      </c>
      <c r="G97" s="220">
        <v>304</v>
      </c>
    </row>
    <row r="98" spans="1:7">
      <c r="A98" s="222" t="s">
        <v>185</v>
      </c>
      <c r="B98" s="219" t="s">
        <v>169</v>
      </c>
      <c r="C98" s="218">
        <v>20</v>
      </c>
      <c r="D98" s="220">
        <v>0.18</v>
      </c>
      <c r="E98" s="220">
        <v>2.0099999999999998</v>
      </c>
      <c r="F98" s="220">
        <v>0.89</v>
      </c>
      <c r="G98" s="220">
        <v>23</v>
      </c>
    </row>
    <row r="99" spans="1:7">
      <c r="A99" s="218" t="s">
        <v>42</v>
      </c>
      <c r="B99" s="219" t="s">
        <v>216</v>
      </c>
      <c r="C99" s="218">
        <v>200</v>
      </c>
      <c r="D99" s="220">
        <v>1.1499999999999999</v>
      </c>
      <c r="E99" s="220"/>
      <c r="F99" s="220">
        <v>12.03</v>
      </c>
      <c r="G99" s="220">
        <v>55.4</v>
      </c>
    </row>
    <row r="100" spans="1:7">
      <c r="A100" s="221"/>
      <c r="B100" s="219" t="s">
        <v>11</v>
      </c>
      <c r="C100" s="218">
        <v>50</v>
      </c>
      <c r="D100" s="220">
        <f>3.04*1.25</f>
        <v>3.8</v>
      </c>
      <c r="E100" s="220">
        <f>0.32*1.25</f>
        <v>0.4</v>
      </c>
      <c r="F100" s="220">
        <f>19.68*1.25</f>
        <v>24.6</v>
      </c>
      <c r="G100" s="220">
        <f>98.34*1.25</f>
        <v>122.92500000000001</v>
      </c>
    </row>
    <row r="101" spans="1:7">
      <c r="A101" s="253" t="s">
        <v>244</v>
      </c>
      <c r="B101" s="254"/>
      <c r="C101" s="216">
        <f>SUM(C96:C100)</f>
        <v>550</v>
      </c>
      <c r="D101" s="220"/>
      <c r="E101" s="220"/>
      <c r="F101" s="220"/>
      <c r="G101" s="220"/>
    </row>
    <row r="102" spans="1:7">
      <c r="A102" s="255" t="s">
        <v>257</v>
      </c>
      <c r="B102" s="255"/>
      <c r="C102" s="255"/>
      <c r="D102" s="215">
        <f>D103</f>
        <v>25.599999999999998</v>
      </c>
      <c r="E102" s="215">
        <f>E103</f>
        <v>32.01</v>
      </c>
      <c r="F102" s="215">
        <f>F103</f>
        <v>64.37</v>
      </c>
      <c r="G102" s="215">
        <f>G103</f>
        <v>660.66000000000008</v>
      </c>
    </row>
    <row r="103" spans="1:7">
      <c r="A103" s="216"/>
      <c r="B103" s="217" t="s">
        <v>66</v>
      </c>
      <c r="C103" s="216"/>
      <c r="D103" s="215">
        <f>D104+D105+D106+D107+D108</f>
        <v>25.599999999999998</v>
      </c>
      <c r="E103" s="215">
        <f>E104+E105+E106+E107+E108</f>
        <v>32.01</v>
      </c>
      <c r="F103" s="215">
        <f>F104+F105+F106+F107+F108</f>
        <v>64.37</v>
      </c>
      <c r="G103" s="215">
        <f>G104+G105+G106+G107+G108</f>
        <v>660.66000000000008</v>
      </c>
    </row>
    <row r="104" spans="1:7">
      <c r="A104" s="221"/>
      <c r="B104" s="219" t="s">
        <v>41</v>
      </c>
      <c r="C104" s="218">
        <v>100</v>
      </c>
      <c r="D104" s="220">
        <v>0.4</v>
      </c>
      <c r="E104" s="220">
        <v>0</v>
      </c>
      <c r="F104" s="220">
        <v>9.8000000000000007</v>
      </c>
      <c r="G104" s="220">
        <v>42.84</v>
      </c>
    </row>
    <row r="105" spans="1:7">
      <c r="A105" s="218" t="s">
        <v>259</v>
      </c>
      <c r="B105" s="219" t="s">
        <v>258</v>
      </c>
      <c r="C105" s="218">
        <v>200</v>
      </c>
      <c r="D105" s="220">
        <v>21.06</v>
      </c>
      <c r="E105" s="220">
        <v>24.33</v>
      </c>
      <c r="F105" s="220">
        <v>3.75</v>
      </c>
      <c r="G105" s="220">
        <v>318.26</v>
      </c>
    </row>
    <row r="106" spans="1:7" ht="25.5">
      <c r="A106" s="218" t="s">
        <v>42</v>
      </c>
      <c r="B106" s="219" t="s">
        <v>217</v>
      </c>
      <c r="C106" s="218">
        <v>200</v>
      </c>
      <c r="D106" s="220">
        <v>1</v>
      </c>
      <c r="E106" s="220">
        <v>0.1</v>
      </c>
      <c r="F106" s="220">
        <v>31</v>
      </c>
      <c r="G106" s="220">
        <v>135</v>
      </c>
    </row>
    <row r="107" spans="1:7">
      <c r="A107" s="218" t="s">
        <v>173</v>
      </c>
      <c r="B107" s="219" t="s">
        <v>136</v>
      </c>
      <c r="C107" s="218">
        <v>10</v>
      </c>
      <c r="D107" s="220">
        <v>0.1</v>
      </c>
      <c r="E107" s="220">
        <v>7.26</v>
      </c>
      <c r="F107" s="220">
        <v>0.14000000000000001</v>
      </c>
      <c r="G107" s="220">
        <v>66.22</v>
      </c>
    </row>
    <row r="108" spans="1:7">
      <c r="A108" s="221"/>
      <c r="B108" s="219" t="s">
        <v>11</v>
      </c>
      <c r="C108" s="218">
        <v>40</v>
      </c>
      <c r="D108" s="220">
        <v>3.04</v>
      </c>
      <c r="E108" s="220">
        <v>0.32</v>
      </c>
      <c r="F108" s="220">
        <v>19.68</v>
      </c>
      <c r="G108" s="220">
        <v>98.34</v>
      </c>
    </row>
    <row r="109" spans="1:7">
      <c r="A109" s="253" t="s">
        <v>244</v>
      </c>
      <c r="B109" s="254"/>
      <c r="C109" s="216">
        <f>C104+C105+C106+C107+C108</f>
        <v>550</v>
      </c>
      <c r="D109" s="220"/>
      <c r="E109" s="220"/>
      <c r="F109" s="220"/>
      <c r="G109" s="220"/>
    </row>
    <row r="110" spans="1:7">
      <c r="A110" s="255" t="s">
        <v>267</v>
      </c>
      <c r="B110" s="255"/>
      <c r="C110" s="255"/>
      <c r="D110" s="215">
        <f>D111</f>
        <v>21.72</v>
      </c>
      <c r="E110" s="215">
        <f>E111</f>
        <v>17.029999999999998</v>
      </c>
      <c r="F110" s="215">
        <f>F111</f>
        <v>101.4</v>
      </c>
      <c r="G110" s="215">
        <f>G111</f>
        <v>663.24</v>
      </c>
    </row>
    <row r="111" spans="1:7">
      <c r="A111" s="216"/>
      <c r="B111" s="217" t="s">
        <v>66</v>
      </c>
      <c r="C111" s="216"/>
      <c r="D111" s="215">
        <f>D112+D113+D114+D115</f>
        <v>21.72</v>
      </c>
      <c r="E111" s="215">
        <f>E112+E113+E114+E115</f>
        <v>17.029999999999998</v>
      </c>
      <c r="F111" s="215">
        <f>F112+F113+F114+F115</f>
        <v>101.4</v>
      </c>
      <c r="G111" s="215">
        <f>G112+G113+G114+G115</f>
        <v>663.24</v>
      </c>
    </row>
    <row r="112" spans="1:7">
      <c r="A112" s="221" t="s">
        <v>261</v>
      </c>
      <c r="B112" s="219" t="s">
        <v>260</v>
      </c>
      <c r="C112" s="218">
        <v>105</v>
      </c>
      <c r="D112" s="220">
        <v>10.25</v>
      </c>
      <c r="E112" s="220">
        <v>12.84</v>
      </c>
      <c r="F112" s="220">
        <v>3.3</v>
      </c>
      <c r="G112" s="220">
        <v>169.76</v>
      </c>
    </row>
    <row r="113" spans="1:7">
      <c r="A113" s="218" t="s">
        <v>33</v>
      </c>
      <c r="B113" s="219" t="s">
        <v>12</v>
      </c>
      <c r="C113" s="218">
        <v>200</v>
      </c>
      <c r="D113" s="220">
        <v>7.52</v>
      </c>
      <c r="E113" s="220">
        <v>3.79</v>
      </c>
      <c r="F113" s="220">
        <v>48</v>
      </c>
      <c r="G113" s="220">
        <v>268</v>
      </c>
    </row>
    <row r="114" spans="1:7">
      <c r="A114" s="221" t="s">
        <v>263</v>
      </c>
      <c r="B114" s="226" t="s">
        <v>262</v>
      </c>
      <c r="C114" s="218">
        <v>200</v>
      </c>
      <c r="D114" s="220">
        <v>0.15</v>
      </c>
      <c r="E114" s="220">
        <v>0</v>
      </c>
      <c r="F114" s="220">
        <v>25.5</v>
      </c>
      <c r="G114" s="220">
        <v>102.58</v>
      </c>
    </row>
    <row r="115" spans="1:7">
      <c r="A115" s="218"/>
      <c r="B115" s="219" t="s">
        <v>11</v>
      </c>
      <c r="C115" s="218">
        <v>50</v>
      </c>
      <c r="D115" s="220">
        <v>3.8</v>
      </c>
      <c r="E115" s="220">
        <v>0.4</v>
      </c>
      <c r="F115" s="220">
        <v>24.6</v>
      </c>
      <c r="G115" s="220">
        <v>122.9</v>
      </c>
    </row>
    <row r="116" spans="1:7">
      <c r="A116" s="253" t="s">
        <v>244</v>
      </c>
      <c r="B116" s="254"/>
      <c r="C116" s="216">
        <f>C115+C114+C113+C112</f>
        <v>555</v>
      </c>
      <c r="D116" s="220"/>
      <c r="E116" s="220"/>
      <c r="F116" s="220"/>
      <c r="G116" s="220"/>
    </row>
    <row r="117" spans="1:7">
      <c r="A117" s="255" t="s">
        <v>268</v>
      </c>
      <c r="B117" s="255"/>
      <c r="C117" s="255"/>
      <c r="D117" s="215">
        <f>D118</f>
        <v>15.45</v>
      </c>
      <c r="E117" s="215">
        <f>E118</f>
        <v>25.664000000000001</v>
      </c>
      <c r="F117" s="215">
        <f>F118</f>
        <v>69.526700000000005</v>
      </c>
      <c r="G117" s="215">
        <f>G118</f>
        <v>592.5</v>
      </c>
    </row>
    <row r="118" spans="1:7">
      <c r="A118" s="216"/>
      <c r="B118" s="217" t="s">
        <v>66</v>
      </c>
      <c r="C118" s="216"/>
      <c r="D118" s="215">
        <f>D119+D120+D121+D122</f>
        <v>15.45</v>
      </c>
      <c r="E118" s="215">
        <f>E119+E120+E121+E122</f>
        <v>25.664000000000001</v>
      </c>
      <c r="F118" s="215">
        <f>F119+F120+F121+F122</f>
        <v>69.526700000000005</v>
      </c>
      <c r="G118" s="215">
        <f>G119+G120+G121+G122</f>
        <v>592.5</v>
      </c>
    </row>
    <row r="119" spans="1:7">
      <c r="A119" s="221" t="s">
        <v>160</v>
      </c>
      <c r="B119" s="219" t="s">
        <v>161</v>
      </c>
      <c r="C119" s="227">
        <v>110</v>
      </c>
      <c r="D119" s="220">
        <v>9.15</v>
      </c>
      <c r="E119" s="220">
        <v>14.97</v>
      </c>
      <c r="F119" s="220">
        <v>10.6</v>
      </c>
      <c r="G119" s="220">
        <v>217.68</v>
      </c>
    </row>
    <row r="120" spans="1:7">
      <c r="A120" s="218" t="s">
        <v>34</v>
      </c>
      <c r="B120" s="219" t="s">
        <v>32</v>
      </c>
      <c r="C120" s="218">
        <v>200</v>
      </c>
      <c r="D120" s="220">
        <v>3.26</v>
      </c>
      <c r="E120" s="220">
        <f>7.8*1.33</f>
        <v>10.374000000000001</v>
      </c>
      <c r="F120" s="220">
        <f>21.99*1.33</f>
        <v>29.246700000000001</v>
      </c>
      <c r="G120" s="220">
        <v>234.48</v>
      </c>
    </row>
    <row r="121" spans="1:7">
      <c r="A121" s="222" t="s">
        <v>176</v>
      </c>
      <c r="B121" s="219" t="s">
        <v>10</v>
      </c>
      <c r="C121" s="222">
        <v>200</v>
      </c>
      <c r="D121" s="220">
        <v>0</v>
      </c>
      <c r="E121" s="220">
        <v>0</v>
      </c>
      <c r="F121" s="220">
        <v>10</v>
      </c>
      <c r="G121" s="220">
        <v>42</v>
      </c>
    </row>
    <row r="122" spans="1:7">
      <c r="A122" s="221"/>
      <c r="B122" s="219" t="s">
        <v>11</v>
      </c>
      <c r="C122" s="218">
        <v>40</v>
      </c>
      <c r="D122" s="220">
        <v>3.04</v>
      </c>
      <c r="E122" s="220">
        <v>0.32</v>
      </c>
      <c r="F122" s="220">
        <v>19.68</v>
      </c>
      <c r="G122" s="220">
        <v>98.34</v>
      </c>
    </row>
    <row r="123" spans="1:7">
      <c r="A123" s="253" t="s">
        <v>244</v>
      </c>
      <c r="B123" s="254"/>
      <c r="C123" s="216">
        <f>SUM(C119:C122)</f>
        <v>550</v>
      </c>
      <c r="D123" s="220"/>
      <c r="E123" s="220"/>
      <c r="F123" s="220"/>
      <c r="G123" s="220"/>
    </row>
    <row r="124" spans="1:7">
      <c r="A124" s="255" t="s">
        <v>269</v>
      </c>
      <c r="B124" s="255"/>
      <c r="C124" s="255"/>
      <c r="D124" s="215">
        <f>D125</f>
        <v>14.010000000000002</v>
      </c>
      <c r="E124" s="215">
        <f>E125</f>
        <v>11.34</v>
      </c>
      <c r="F124" s="215">
        <f>F125</f>
        <v>85.34</v>
      </c>
      <c r="G124" s="215">
        <f>G125</f>
        <v>520.04999999999995</v>
      </c>
    </row>
    <row r="125" spans="1:7">
      <c r="A125" s="216"/>
      <c r="B125" s="217" t="s">
        <v>66</v>
      </c>
      <c r="C125" s="216"/>
      <c r="D125" s="215">
        <f>D126+D127+D128+D129+D130+D131</f>
        <v>14.010000000000002</v>
      </c>
      <c r="E125" s="215">
        <f>E126+E127+E128+E129+E130+E131</f>
        <v>11.34</v>
      </c>
      <c r="F125" s="215">
        <f>F126+F127+F128+F129+F130+F131</f>
        <v>85.34</v>
      </c>
      <c r="G125" s="215">
        <f>G126+G127+G128+G129+G130+G131</f>
        <v>520.04999999999995</v>
      </c>
    </row>
    <row r="126" spans="1:7">
      <c r="A126" s="238" t="s">
        <v>175</v>
      </c>
      <c r="B126" s="237" t="s">
        <v>35</v>
      </c>
      <c r="C126" s="238">
        <v>10</v>
      </c>
      <c r="D126" s="239">
        <v>2.6</v>
      </c>
      <c r="E126" s="239">
        <v>2.65</v>
      </c>
      <c r="F126" s="239">
        <v>0.35</v>
      </c>
      <c r="G126" s="239">
        <v>36.24</v>
      </c>
    </row>
    <row r="127" spans="1:7">
      <c r="A127" s="238" t="s">
        <v>173</v>
      </c>
      <c r="B127" s="237" t="s">
        <v>136</v>
      </c>
      <c r="C127" s="238">
        <v>5</v>
      </c>
      <c r="D127" s="239">
        <v>0.05</v>
      </c>
      <c r="E127" s="239">
        <v>3.63</v>
      </c>
      <c r="F127" s="239">
        <v>7.0000000000000007E-2</v>
      </c>
      <c r="G127" s="239">
        <v>33.11</v>
      </c>
    </row>
    <row r="128" spans="1:7">
      <c r="A128" s="221"/>
      <c r="B128" s="219" t="s">
        <v>41</v>
      </c>
      <c r="C128" s="218">
        <v>100</v>
      </c>
      <c r="D128" s="220">
        <v>0.4</v>
      </c>
      <c r="E128" s="220">
        <v>0</v>
      </c>
      <c r="F128" s="220">
        <v>9.8000000000000007</v>
      </c>
      <c r="G128" s="220">
        <v>42.84</v>
      </c>
    </row>
    <row r="129" spans="1:7" ht="25.5">
      <c r="A129" s="218" t="s">
        <v>174</v>
      </c>
      <c r="B129" s="219" t="s">
        <v>202</v>
      </c>
      <c r="C129" s="218">
        <v>203</v>
      </c>
      <c r="D129" s="220">
        <v>7.16</v>
      </c>
      <c r="E129" s="220">
        <v>4.66</v>
      </c>
      <c r="F129" s="220">
        <v>40.520000000000003</v>
      </c>
      <c r="G129" s="220">
        <v>242.96</v>
      </c>
    </row>
    <row r="130" spans="1:7">
      <c r="A130" s="236" t="s">
        <v>176</v>
      </c>
      <c r="B130" s="237" t="s">
        <v>10</v>
      </c>
      <c r="C130" s="238">
        <v>200</v>
      </c>
      <c r="D130" s="239">
        <v>0</v>
      </c>
      <c r="E130" s="239">
        <v>0</v>
      </c>
      <c r="F130" s="239">
        <v>10</v>
      </c>
      <c r="G130" s="239">
        <v>42</v>
      </c>
    </row>
    <row r="131" spans="1:7">
      <c r="A131" s="218"/>
      <c r="B131" s="219" t="s">
        <v>11</v>
      </c>
      <c r="C131" s="218">
        <v>50</v>
      </c>
      <c r="D131" s="220">
        <v>3.8</v>
      </c>
      <c r="E131" s="220">
        <v>0.4</v>
      </c>
      <c r="F131" s="220">
        <v>24.6</v>
      </c>
      <c r="G131" s="220">
        <v>122.9</v>
      </c>
    </row>
    <row r="132" spans="1:7">
      <c r="A132" s="253" t="s">
        <v>244</v>
      </c>
      <c r="B132" s="254"/>
      <c r="C132" s="223">
        <f>C126+C127+C128+C129+C130+C131</f>
        <v>568</v>
      </c>
      <c r="D132" s="224"/>
      <c r="E132" s="224"/>
      <c r="F132" s="224"/>
      <c r="G132" s="224"/>
    </row>
    <row r="133" spans="1:7">
      <c r="A133" s="255" t="s">
        <v>270</v>
      </c>
      <c r="B133" s="255"/>
      <c r="C133" s="255"/>
      <c r="D133" s="215">
        <f>D134</f>
        <v>21.049999999999997</v>
      </c>
      <c r="E133" s="215">
        <f>E134</f>
        <v>20.11</v>
      </c>
      <c r="F133" s="215">
        <f>F134</f>
        <v>94.710000000000008</v>
      </c>
      <c r="G133" s="215">
        <f>G134</f>
        <v>663.1</v>
      </c>
    </row>
    <row r="134" spans="1:7">
      <c r="A134" s="216"/>
      <c r="B134" s="217" t="s">
        <v>66</v>
      </c>
      <c r="C134" s="216"/>
      <c r="D134" s="215">
        <f>D135+D136+D137+D138</f>
        <v>21.049999999999997</v>
      </c>
      <c r="E134" s="215">
        <f>E135+E136+E137+E138</f>
        <v>20.11</v>
      </c>
      <c r="F134" s="215">
        <f>F135+F136+F137+F138</f>
        <v>94.710000000000008</v>
      </c>
      <c r="G134" s="215">
        <f>G135+G136+G137+G138</f>
        <v>663.1</v>
      </c>
    </row>
    <row r="135" spans="1:7">
      <c r="A135" s="221" t="s">
        <v>264</v>
      </c>
      <c r="B135" s="219" t="s">
        <v>291</v>
      </c>
      <c r="C135" s="218">
        <v>110</v>
      </c>
      <c r="D135" s="220">
        <v>9.34</v>
      </c>
      <c r="E135" s="220">
        <v>16</v>
      </c>
      <c r="F135" s="220">
        <v>15</v>
      </c>
      <c r="G135" s="220">
        <v>241.36</v>
      </c>
    </row>
    <row r="136" spans="1:7">
      <c r="A136" s="218" t="s">
        <v>33</v>
      </c>
      <c r="B136" s="219" t="s">
        <v>12</v>
      </c>
      <c r="C136" s="218">
        <v>200</v>
      </c>
      <c r="D136" s="220">
        <v>7.52</v>
      </c>
      <c r="E136" s="220">
        <v>3.79</v>
      </c>
      <c r="F136" s="220">
        <v>48</v>
      </c>
      <c r="G136" s="220">
        <v>268</v>
      </c>
    </row>
    <row r="137" spans="1:7">
      <c r="A137" s="218" t="s">
        <v>42</v>
      </c>
      <c r="B137" s="219" t="s">
        <v>216</v>
      </c>
      <c r="C137" s="218">
        <v>200</v>
      </c>
      <c r="D137" s="220">
        <v>1.1499999999999999</v>
      </c>
      <c r="E137" s="220"/>
      <c r="F137" s="220">
        <v>12.03</v>
      </c>
      <c r="G137" s="220">
        <v>55.4</v>
      </c>
    </row>
    <row r="138" spans="1:7">
      <c r="A138" s="218"/>
      <c r="B138" s="219" t="s">
        <v>11</v>
      </c>
      <c r="C138" s="218">
        <v>40</v>
      </c>
      <c r="D138" s="220">
        <v>3.04</v>
      </c>
      <c r="E138" s="220">
        <v>0.32</v>
      </c>
      <c r="F138" s="220">
        <v>19.68</v>
      </c>
      <c r="G138" s="220">
        <v>98.34</v>
      </c>
    </row>
    <row r="139" spans="1:7">
      <c r="A139" s="253" t="s">
        <v>244</v>
      </c>
      <c r="B139" s="254"/>
      <c r="C139" s="223">
        <f>C135+C136+C137+C138</f>
        <v>550</v>
      </c>
      <c r="D139" s="224"/>
      <c r="E139" s="224"/>
      <c r="F139" s="224"/>
      <c r="G139" s="224"/>
    </row>
    <row r="140" spans="1:7">
      <c r="A140" s="255" t="s">
        <v>271</v>
      </c>
      <c r="B140" s="255"/>
      <c r="C140" s="255"/>
      <c r="D140" s="215">
        <f>D141</f>
        <v>23.534000000000002</v>
      </c>
      <c r="E140" s="215">
        <f>E141</f>
        <v>25.675999999999998</v>
      </c>
      <c r="F140" s="215">
        <f>F141</f>
        <v>97.707999999999998</v>
      </c>
      <c r="G140" s="215">
        <f>G141</f>
        <v>736.54</v>
      </c>
    </row>
    <row r="141" spans="1:7">
      <c r="A141" s="216"/>
      <c r="B141" s="217" t="s">
        <v>66</v>
      </c>
      <c r="C141" s="216"/>
      <c r="D141" s="215">
        <f>D142+D143+D144+D145+D146</f>
        <v>23.534000000000002</v>
      </c>
      <c r="E141" s="215">
        <f>E142+E143+E144+E145+E146</f>
        <v>25.675999999999998</v>
      </c>
      <c r="F141" s="215">
        <f>F142+F143+F144+F145+F146</f>
        <v>97.707999999999998</v>
      </c>
      <c r="G141" s="215">
        <f>G142+G143+G144+G145+G146</f>
        <v>736.54</v>
      </c>
    </row>
    <row r="142" spans="1:7">
      <c r="A142" s="218" t="s">
        <v>266</v>
      </c>
      <c r="B142" s="219" t="s">
        <v>265</v>
      </c>
      <c r="C142" s="218">
        <v>100</v>
      </c>
      <c r="D142" s="220">
        <v>11.31</v>
      </c>
      <c r="E142" s="220">
        <v>10.82</v>
      </c>
      <c r="F142" s="220">
        <v>11.3</v>
      </c>
      <c r="G142" s="220">
        <v>187.84</v>
      </c>
    </row>
    <row r="143" spans="1:7">
      <c r="A143" s="218" t="s">
        <v>132</v>
      </c>
      <c r="B143" s="219" t="s">
        <v>133</v>
      </c>
      <c r="C143" s="218">
        <v>180</v>
      </c>
      <c r="D143" s="220">
        <f>5.77*1.2</f>
        <v>6.9239999999999995</v>
      </c>
      <c r="E143" s="220">
        <f>10.08*1.2</f>
        <v>12.096</v>
      </c>
      <c r="F143" s="220">
        <f>30.69*1.2</f>
        <v>36.828000000000003</v>
      </c>
      <c r="G143" s="220">
        <f>244*1.2</f>
        <v>292.8</v>
      </c>
    </row>
    <row r="144" spans="1:7">
      <c r="A144" s="221"/>
      <c r="B144" s="219" t="s">
        <v>62</v>
      </c>
      <c r="C144" s="218">
        <v>20</v>
      </c>
      <c r="D144" s="220">
        <v>1.5</v>
      </c>
      <c r="E144" s="220">
        <v>2.36</v>
      </c>
      <c r="F144" s="220">
        <v>14.98</v>
      </c>
      <c r="G144" s="220">
        <v>91</v>
      </c>
    </row>
    <row r="145" spans="1:7">
      <c r="A145" s="221" t="s">
        <v>176</v>
      </c>
      <c r="B145" s="219" t="s">
        <v>10</v>
      </c>
      <c r="C145" s="222">
        <v>200</v>
      </c>
      <c r="D145" s="220">
        <v>0</v>
      </c>
      <c r="E145" s="220">
        <v>0</v>
      </c>
      <c r="F145" s="220">
        <v>10</v>
      </c>
      <c r="G145" s="220">
        <v>42</v>
      </c>
    </row>
    <row r="146" spans="1:7">
      <c r="A146" s="218"/>
      <c r="B146" s="219" t="s">
        <v>11</v>
      </c>
      <c r="C146" s="218">
        <v>50</v>
      </c>
      <c r="D146" s="220">
        <v>3.8</v>
      </c>
      <c r="E146" s="220">
        <v>0.4</v>
      </c>
      <c r="F146" s="220">
        <v>24.6</v>
      </c>
      <c r="G146" s="220">
        <v>122.9</v>
      </c>
    </row>
    <row r="147" spans="1:7">
      <c r="A147" s="253" t="s">
        <v>244</v>
      </c>
      <c r="B147" s="254"/>
      <c r="C147" s="228">
        <f>SUM(C142:C146)</f>
        <v>550</v>
      </c>
      <c r="D147" s="220"/>
      <c r="E147" s="220"/>
      <c r="F147" s="220"/>
      <c r="G147" s="220"/>
    </row>
    <row r="148" spans="1:7">
      <c r="A148" s="255" t="s">
        <v>274</v>
      </c>
      <c r="B148" s="255"/>
      <c r="C148" s="255"/>
      <c r="D148" s="215">
        <f>D149</f>
        <v>24.052</v>
      </c>
      <c r="E148" s="215">
        <f>E149</f>
        <v>12.404</v>
      </c>
      <c r="F148" s="215">
        <f>F149</f>
        <v>88.18</v>
      </c>
      <c r="G148" s="215">
        <f>G149</f>
        <v>578.94600000000003</v>
      </c>
    </row>
    <row r="149" spans="1:7">
      <c r="A149" s="216"/>
      <c r="B149" s="217" t="s">
        <v>66</v>
      </c>
      <c r="C149" s="216"/>
      <c r="D149" s="215">
        <f>D150+D151+D152+D153+D154</f>
        <v>24.052</v>
      </c>
      <c r="E149" s="215">
        <f>E150+E151+E152+E153+E154</f>
        <v>12.404</v>
      </c>
      <c r="F149" s="215">
        <f>F150+F151+F152+F153+F154</f>
        <v>88.18</v>
      </c>
      <c r="G149" s="215">
        <f>G150+G151+G152+G153+G154</f>
        <v>578.94600000000003</v>
      </c>
    </row>
    <row r="150" spans="1:7">
      <c r="A150" s="218" t="s">
        <v>273</v>
      </c>
      <c r="B150" s="219" t="s">
        <v>272</v>
      </c>
      <c r="C150" s="218">
        <v>100</v>
      </c>
      <c r="D150" s="220">
        <v>16.170000000000002</v>
      </c>
      <c r="E150" s="220">
        <v>5.82</v>
      </c>
      <c r="F150" s="220">
        <v>9.1999999999999993</v>
      </c>
      <c r="G150" s="220">
        <v>153.93</v>
      </c>
    </row>
    <row r="151" spans="1:7">
      <c r="A151" s="221" t="s">
        <v>183</v>
      </c>
      <c r="B151" s="219" t="s">
        <v>157</v>
      </c>
      <c r="C151" s="218">
        <v>180</v>
      </c>
      <c r="D151" s="220">
        <f>3.81*1.2</f>
        <v>4.5720000000000001</v>
      </c>
      <c r="E151" s="220">
        <f>2.72*1.2</f>
        <v>3.2640000000000002</v>
      </c>
      <c r="F151" s="220">
        <f>40*1.2</f>
        <v>48</v>
      </c>
      <c r="G151" s="220">
        <f>208.48*1.2</f>
        <v>250.17599999999999</v>
      </c>
    </row>
    <row r="152" spans="1:7">
      <c r="A152" s="222" t="s">
        <v>185</v>
      </c>
      <c r="B152" s="219" t="s">
        <v>169</v>
      </c>
      <c r="C152" s="218">
        <v>30</v>
      </c>
      <c r="D152" s="220">
        <v>0.27</v>
      </c>
      <c r="E152" s="220">
        <v>3</v>
      </c>
      <c r="F152" s="220">
        <v>1.3</v>
      </c>
      <c r="G152" s="220">
        <v>34.5</v>
      </c>
    </row>
    <row r="153" spans="1:7">
      <c r="A153" s="221" t="s">
        <v>176</v>
      </c>
      <c r="B153" s="219" t="s">
        <v>10</v>
      </c>
      <c r="C153" s="222">
        <v>200</v>
      </c>
      <c r="D153" s="220">
        <v>0</v>
      </c>
      <c r="E153" s="220">
        <v>0</v>
      </c>
      <c r="F153" s="220">
        <v>10</v>
      </c>
      <c r="G153" s="220">
        <v>42</v>
      </c>
    </row>
    <row r="154" spans="1:7">
      <c r="A154" s="218"/>
      <c r="B154" s="219" t="s">
        <v>11</v>
      </c>
      <c r="C154" s="218">
        <v>40</v>
      </c>
      <c r="D154" s="220">
        <v>3.04</v>
      </c>
      <c r="E154" s="220">
        <v>0.32</v>
      </c>
      <c r="F154" s="220">
        <v>19.68</v>
      </c>
      <c r="G154" s="220">
        <v>98.34</v>
      </c>
    </row>
    <row r="155" spans="1:7">
      <c r="A155" s="253" t="s">
        <v>244</v>
      </c>
      <c r="B155" s="254"/>
      <c r="C155" s="216">
        <f>SUM(C150:C154)</f>
        <v>550</v>
      </c>
      <c r="D155" s="220"/>
      <c r="E155" s="220"/>
      <c r="F155" s="220"/>
      <c r="G155" s="220"/>
    </row>
    <row r="156" spans="1:7">
      <c r="A156" s="255" t="s">
        <v>275</v>
      </c>
      <c r="B156" s="255"/>
      <c r="C156" s="255"/>
      <c r="D156" s="215">
        <f>D157</f>
        <v>37.4</v>
      </c>
      <c r="E156" s="215">
        <f>E157</f>
        <v>12.25</v>
      </c>
      <c r="F156" s="215">
        <f>F157</f>
        <v>90.02000000000001</v>
      </c>
      <c r="G156" s="215">
        <f>G157</f>
        <v>628.7700000000001</v>
      </c>
    </row>
    <row r="157" spans="1:7">
      <c r="A157" s="216"/>
      <c r="B157" s="217" t="s">
        <v>66</v>
      </c>
      <c r="C157" s="216"/>
      <c r="D157" s="215">
        <f>D158+D159+D160+D161</f>
        <v>37.4</v>
      </c>
      <c r="E157" s="215">
        <f>E158+E159+E160+E161</f>
        <v>12.25</v>
      </c>
      <c r="F157" s="215">
        <f>F158+F159+F160+F161</f>
        <v>90.02000000000001</v>
      </c>
      <c r="G157" s="215">
        <f>G158+G159+G160+G161</f>
        <v>628.7700000000001</v>
      </c>
    </row>
    <row r="158" spans="1:7">
      <c r="A158" s="221"/>
      <c r="B158" s="219" t="s">
        <v>41</v>
      </c>
      <c r="C158" s="218">
        <v>110</v>
      </c>
      <c r="D158" s="220">
        <v>0.44</v>
      </c>
      <c r="E158" s="220">
        <v>0</v>
      </c>
      <c r="F158" s="220">
        <v>10.78</v>
      </c>
      <c r="G158" s="220">
        <v>47.12</v>
      </c>
    </row>
    <row r="159" spans="1:7">
      <c r="A159" s="218" t="s">
        <v>277</v>
      </c>
      <c r="B159" s="219" t="s">
        <v>276</v>
      </c>
      <c r="C159" s="218">
        <v>200</v>
      </c>
      <c r="D159" s="220">
        <v>33.92</v>
      </c>
      <c r="E159" s="220">
        <v>11.93</v>
      </c>
      <c r="F159" s="220">
        <v>49.56</v>
      </c>
      <c r="G159" s="220">
        <v>441.31</v>
      </c>
    </row>
    <row r="160" spans="1:7">
      <c r="A160" s="221" t="s">
        <v>176</v>
      </c>
      <c r="B160" s="219" t="s">
        <v>10</v>
      </c>
      <c r="C160" s="222">
        <v>200</v>
      </c>
      <c r="D160" s="220">
        <v>0</v>
      </c>
      <c r="E160" s="220">
        <v>0</v>
      </c>
      <c r="F160" s="220">
        <v>10</v>
      </c>
      <c r="G160" s="220">
        <v>42</v>
      </c>
    </row>
    <row r="161" spans="1:7">
      <c r="A161" s="221"/>
      <c r="B161" s="226" t="s">
        <v>11</v>
      </c>
      <c r="C161" s="221">
        <v>40</v>
      </c>
      <c r="D161" s="224">
        <v>3.04</v>
      </c>
      <c r="E161" s="224">
        <v>0.32</v>
      </c>
      <c r="F161" s="224">
        <v>19.68</v>
      </c>
      <c r="G161" s="224">
        <v>98.34</v>
      </c>
    </row>
    <row r="162" spans="1:7">
      <c r="A162" s="253" t="s">
        <v>244</v>
      </c>
      <c r="B162" s="254"/>
      <c r="C162" s="228">
        <f>SUM(C158:C161)</f>
        <v>550</v>
      </c>
      <c r="D162" s="218"/>
      <c r="E162" s="218"/>
      <c r="F162" s="218"/>
      <c r="G162" s="218"/>
    </row>
  </sheetData>
  <mergeCells count="47">
    <mergeCell ref="A162:B162"/>
    <mergeCell ref="A124:C124"/>
    <mergeCell ref="A132:B132"/>
    <mergeCell ref="A133:C133"/>
    <mergeCell ref="A139:B139"/>
    <mergeCell ref="A140:C140"/>
    <mergeCell ref="A147:B147"/>
    <mergeCell ref="A148:C148"/>
    <mergeCell ref="A155:B155"/>
    <mergeCell ref="A156:C156"/>
    <mergeCell ref="A123:B123"/>
    <mergeCell ref="A85:C85"/>
    <mergeCell ref="A93:B93"/>
    <mergeCell ref="A94:C94"/>
    <mergeCell ref="A101:B101"/>
    <mergeCell ref="A102:C102"/>
    <mergeCell ref="A109:B109"/>
    <mergeCell ref="A110:C110"/>
    <mergeCell ref="A116:B116"/>
    <mergeCell ref="A117:C117"/>
    <mergeCell ref="A76:B76"/>
    <mergeCell ref="A39:B39"/>
    <mergeCell ref="A46:B46"/>
    <mergeCell ref="A53:B53"/>
    <mergeCell ref="A61:B61"/>
    <mergeCell ref="A68:B68"/>
    <mergeCell ref="A69:C69"/>
    <mergeCell ref="A84:B84"/>
    <mergeCell ref="A1:G2"/>
    <mergeCell ref="A3:G4"/>
    <mergeCell ref="A5:A6"/>
    <mergeCell ref="B5:B6"/>
    <mergeCell ref="C5:C6"/>
    <mergeCell ref="A54:C54"/>
    <mergeCell ref="A19:C19"/>
    <mergeCell ref="A26:C26"/>
    <mergeCell ref="G5:G6"/>
    <mergeCell ref="A77:C77"/>
    <mergeCell ref="D5:F5"/>
    <mergeCell ref="A33:C33"/>
    <mergeCell ref="A40:C40"/>
    <mergeCell ref="A47:C47"/>
    <mergeCell ref="A62:C62"/>
    <mergeCell ref="A32:B32"/>
    <mergeCell ref="A8:C8"/>
    <mergeCell ref="A18:B18"/>
    <mergeCell ref="A25:B25"/>
  </mergeCells>
  <phoneticPr fontId="0" type="noConversion"/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314"/>
  <sheetViews>
    <sheetView topLeftCell="A225" zoomScale="112" zoomScaleNormal="112" workbookViewId="0">
      <selection activeCell="D240" sqref="D240:G240"/>
    </sheetView>
  </sheetViews>
  <sheetFormatPr defaultRowHeight="12.75"/>
  <cols>
    <col min="1" max="1" width="11" style="195" customWidth="1"/>
    <col min="2" max="2" width="37" style="209" customWidth="1"/>
    <col min="3" max="3" width="10" style="195" customWidth="1"/>
    <col min="4" max="4" width="7.85546875" style="195" customWidth="1"/>
    <col min="5" max="5" width="8.7109375" style="195" customWidth="1"/>
    <col min="6" max="6" width="8.42578125" style="195" customWidth="1"/>
    <col min="7" max="7" width="11" style="195" customWidth="1"/>
    <col min="8" max="16384" width="9.140625" style="184"/>
  </cols>
  <sheetData>
    <row r="1" spans="1:7" ht="12.75" customHeight="1">
      <c r="A1" s="251" t="s">
        <v>246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12.75" customHeight="1">
      <c r="A3" s="249" t="s">
        <v>247</v>
      </c>
      <c r="B3" s="249"/>
      <c r="C3" s="249"/>
      <c r="D3" s="249"/>
      <c r="E3" s="249"/>
      <c r="F3" s="249"/>
      <c r="G3" s="249"/>
    </row>
    <row r="4" spans="1:7" ht="30.75" customHeight="1">
      <c r="A4" s="250"/>
      <c r="B4" s="250"/>
      <c r="C4" s="250"/>
      <c r="D4" s="250"/>
      <c r="E4" s="250"/>
      <c r="F4" s="250"/>
      <c r="G4" s="250"/>
    </row>
    <row r="5" spans="1:7" ht="33.75" customHeight="1">
      <c r="A5" s="252" t="s">
        <v>231</v>
      </c>
      <c r="B5" s="252" t="s">
        <v>232</v>
      </c>
      <c r="C5" s="252" t="s">
        <v>233</v>
      </c>
      <c r="D5" s="252" t="s">
        <v>234</v>
      </c>
      <c r="E5" s="252"/>
      <c r="F5" s="252"/>
      <c r="G5" s="252" t="s">
        <v>23</v>
      </c>
    </row>
    <row r="6" spans="1:7" ht="34.5" customHeight="1">
      <c r="A6" s="252"/>
      <c r="B6" s="252"/>
      <c r="C6" s="252"/>
      <c r="D6" s="186" t="s">
        <v>17</v>
      </c>
      <c r="E6" s="186" t="s">
        <v>19</v>
      </c>
      <c r="F6" s="186" t="s">
        <v>21</v>
      </c>
      <c r="G6" s="252"/>
    </row>
    <row r="7" spans="1:7">
      <c r="A7" s="186" t="s">
        <v>2</v>
      </c>
      <c r="B7" s="186" t="s">
        <v>8</v>
      </c>
      <c r="C7" s="186" t="s">
        <v>15</v>
      </c>
      <c r="D7" s="186" t="s">
        <v>18</v>
      </c>
      <c r="E7" s="186" t="s">
        <v>20</v>
      </c>
      <c r="F7" s="186" t="s">
        <v>22</v>
      </c>
      <c r="G7" s="186" t="s">
        <v>24</v>
      </c>
    </row>
    <row r="8" spans="1:7" ht="27.95" customHeight="1">
      <c r="A8" s="246" t="s">
        <v>235</v>
      </c>
      <c r="B8" s="246"/>
      <c r="C8" s="246"/>
      <c r="D8" s="185">
        <f>D9+D19</f>
        <v>36.9</v>
      </c>
      <c r="E8" s="185">
        <f>E9+E19</f>
        <v>47.78</v>
      </c>
      <c r="F8" s="185">
        <f>F9+F19</f>
        <v>199.6</v>
      </c>
      <c r="G8" s="185">
        <f>G9+G19</f>
        <v>1394.6100000000001</v>
      </c>
    </row>
    <row r="9" spans="1:7">
      <c r="A9" s="216"/>
      <c r="B9" s="255" t="s">
        <v>66</v>
      </c>
      <c r="C9" s="255"/>
      <c r="D9" s="215">
        <f>D10+D11+D12+D13+D14+D15</f>
        <v>16.34</v>
      </c>
      <c r="E9" s="215">
        <f>E10+E11+E12+E13+E14+E15</f>
        <v>19.29</v>
      </c>
      <c r="F9" s="215">
        <f>F10+F11+F12+F13+F14+F15</f>
        <v>90.69</v>
      </c>
      <c r="G9" s="215">
        <f>G10+G11+G12+G13+G14+G15</f>
        <v>604.97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205</v>
      </c>
      <c r="D12" s="220">
        <v>6.81</v>
      </c>
      <c r="E12" s="220">
        <v>10.45</v>
      </c>
      <c r="F12" s="220">
        <v>29.51</v>
      </c>
      <c r="G12" s="220">
        <v>246.6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21" t="s">
        <v>176</v>
      </c>
      <c r="B14" s="219" t="s">
        <v>10</v>
      </c>
      <c r="C14" s="218">
        <v>200</v>
      </c>
      <c r="D14" s="220">
        <v>0</v>
      </c>
      <c r="E14" s="220">
        <v>0</v>
      </c>
      <c r="F14" s="220">
        <v>10</v>
      </c>
      <c r="G14" s="220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540</v>
      </c>
      <c r="D18" s="224"/>
      <c r="E18" s="224"/>
      <c r="F18" s="224"/>
      <c r="G18" s="224"/>
    </row>
    <row r="19" spans="1:7">
      <c r="A19" s="221"/>
      <c r="B19" s="258" t="s">
        <v>67</v>
      </c>
      <c r="C19" s="258"/>
      <c r="D19" s="229">
        <f>D20+D21+D22+D23+D24</f>
        <v>20.56</v>
      </c>
      <c r="E19" s="229">
        <f>E20+E21+E22+E23+E24</f>
        <v>28.490000000000002</v>
      </c>
      <c r="F19" s="229">
        <f>F20+F21+F22+F23+F24</f>
        <v>108.91</v>
      </c>
      <c r="G19" s="229">
        <f>G20+G21+G22+G23+G24</f>
        <v>789.64</v>
      </c>
    </row>
    <row r="20" spans="1:7">
      <c r="A20" s="218" t="s">
        <v>186</v>
      </c>
      <c r="B20" s="219" t="s">
        <v>137</v>
      </c>
      <c r="C20" s="218">
        <v>60</v>
      </c>
      <c r="D20" s="220">
        <v>0.94</v>
      </c>
      <c r="E20" s="220">
        <v>3.06</v>
      </c>
      <c r="F20" s="220">
        <v>5.66</v>
      </c>
      <c r="G20" s="220">
        <v>55.26</v>
      </c>
    </row>
    <row r="21" spans="1:7" ht="12.75" customHeight="1">
      <c r="A21" s="218" t="s">
        <v>178</v>
      </c>
      <c r="B21" s="219" t="s">
        <v>138</v>
      </c>
      <c r="C21" s="218">
        <v>205</v>
      </c>
      <c r="D21" s="220">
        <v>3.09</v>
      </c>
      <c r="E21" s="220">
        <v>4.6100000000000003</v>
      </c>
      <c r="F21" s="220">
        <v>12.54</v>
      </c>
      <c r="G21" s="220">
        <v>107.36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40</v>
      </c>
      <c r="D24" s="220">
        <v>3.04</v>
      </c>
      <c r="E24" s="220">
        <v>0.32</v>
      </c>
      <c r="F24" s="220">
        <v>19.68</v>
      </c>
      <c r="G24" s="220">
        <v>98.34</v>
      </c>
    </row>
    <row r="25" spans="1:7">
      <c r="A25" s="257" t="s">
        <v>244</v>
      </c>
      <c r="B25" s="257"/>
      <c r="C25" s="223">
        <f>SUM(C20:C24)</f>
        <v>705</v>
      </c>
      <c r="D25" s="224"/>
      <c r="E25" s="224"/>
      <c r="F25" s="224"/>
      <c r="G25" s="224"/>
    </row>
    <row r="26" spans="1:7" ht="27.95" customHeight="1">
      <c r="A26" s="255" t="s">
        <v>236</v>
      </c>
      <c r="B26" s="255"/>
      <c r="C26" s="255"/>
      <c r="D26" s="215">
        <f>D27+D33</f>
        <v>33.33</v>
      </c>
      <c r="E26" s="215">
        <f>E27+E33</f>
        <v>66.11999999999999</v>
      </c>
      <c r="F26" s="215">
        <f>F27+F33</f>
        <v>157.07</v>
      </c>
      <c r="G26" s="215">
        <f>G27+G33</f>
        <v>1393</v>
      </c>
    </row>
    <row r="27" spans="1:7">
      <c r="A27" s="216"/>
      <c r="B27" s="255" t="s">
        <v>66</v>
      </c>
      <c r="C27" s="255"/>
      <c r="D27" s="215">
        <f>D28+D29+D30+D31</f>
        <v>12.620000000000001</v>
      </c>
      <c r="E27" s="215">
        <f>E28+E29+E30+E31</f>
        <v>16.91</v>
      </c>
      <c r="F27" s="215">
        <f>F28+F29+F30+F31</f>
        <v>71.039999999999992</v>
      </c>
      <c r="G27" s="215">
        <f>G28+G29+G30+G31</f>
        <v>503.65</v>
      </c>
    </row>
    <row r="28" spans="1:7">
      <c r="A28" s="218" t="s">
        <v>219</v>
      </c>
      <c r="B28" s="219" t="s">
        <v>140</v>
      </c>
      <c r="C28" s="218">
        <v>115</v>
      </c>
      <c r="D28" s="220">
        <v>6.32</v>
      </c>
      <c r="E28" s="220">
        <v>8.7899999999999991</v>
      </c>
      <c r="F28" s="220">
        <v>19.37</v>
      </c>
      <c r="G28" s="220">
        <v>187.01</v>
      </c>
    </row>
    <row r="29" spans="1:7">
      <c r="A29" s="221" t="s">
        <v>34</v>
      </c>
      <c r="B29" s="219" t="s">
        <v>32</v>
      </c>
      <c r="C29" s="218">
        <v>150</v>
      </c>
      <c r="D29" s="220">
        <v>3.26</v>
      </c>
      <c r="E29" s="220">
        <v>7.8</v>
      </c>
      <c r="F29" s="220">
        <v>21.99</v>
      </c>
      <c r="G29" s="220">
        <v>176.3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40</v>
      </c>
      <c r="D31" s="220">
        <v>3.04</v>
      </c>
      <c r="E31" s="220">
        <v>0.32</v>
      </c>
      <c r="F31" s="220">
        <v>19.68</v>
      </c>
      <c r="G31" s="220">
        <v>98.34</v>
      </c>
    </row>
    <row r="32" spans="1:7">
      <c r="A32" s="257" t="s">
        <v>244</v>
      </c>
      <c r="B32" s="257"/>
      <c r="C32" s="216">
        <f>SUM(C28:C31)</f>
        <v>505</v>
      </c>
      <c r="D32" s="220"/>
      <c r="E32" s="220"/>
      <c r="F32" s="220"/>
      <c r="G32" s="220"/>
    </row>
    <row r="33" spans="1:7">
      <c r="A33" s="218"/>
      <c r="B33" s="258" t="s">
        <v>67</v>
      </c>
      <c r="C33" s="258"/>
      <c r="D33" s="215">
        <f>D34+D35+D36+D37+D38+D39</f>
        <v>20.709999999999997</v>
      </c>
      <c r="E33" s="215">
        <f>E34+E35+E36+E37+E38+E39</f>
        <v>49.209999999999994</v>
      </c>
      <c r="F33" s="215">
        <f>F34+F35+F36+F37+F38+F39</f>
        <v>86.03</v>
      </c>
      <c r="G33" s="215">
        <f>G34+G35+G36+G37+G38+G39</f>
        <v>889.34999999999991</v>
      </c>
    </row>
    <row r="34" spans="1:7">
      <c r="A34" s="218" t="s">
        <v>68</v>
      </c>
      <c r="B34" s="219" t="s">
        <v>69</v>
      </c>
      <c r="C34" s="218">
        <v>60</v>
      </c>
      <c r="D34" s="220">
        <v>0.84</v>
      </c>
      <c r="E34" s="220">
        <v>3.06</v>
      </c>
      <c r="F34" s="220">
        <v>6.83</v>
      </c>
      <c r="G34" s="220">
        <v>59.75</v>
      </c>
    </row>
    <row r="35" spans="1:7" ht="25.5">
      <c r="A35" s="218" t="s">
        <v>179</v>
      </c>
      <c r="B35" s="219" t="s">
        <v>141</v>
      </c>
      <c r="C35" s="218">
        <v>205</v>
      </c>
      <c r="D35" s="220">
        <v>2.57</v>
      </c>
      <c r="E35" s="220">
        <v>9.24</v>
      </c>
      <c r="F35" s="220">
        <v>18.04</v>
      </c>
      <c r="G35" s="220">
        <v>169.72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150</v>
      </c>
      <c r="D37" s="220">
        <v>5.64</v>
      </c>
      <c r="E37" s="220">
        <v>2.84</v>
      </c>
      <c r="F37" s="220">
        <v>36</v>
      </c>
      <c r="G37" s="220">
        <v>201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7" t="s">
        <v>244</v>
      </c>
      <c r="B40" s="257"/>
      <c r="C40" s="216">
        <f>SUM(C34:C39)</f>
        <v>735</v>
      </c>
      <c r="D40" s="220"/>
      <c r="E40" s="220"/>
      <c r="F40" s="220"/>
      <c r="G40" s="220"/>
    </row>
    <row r="41" spans="1:7" ht="27.95" customHeight="1">
      <c r="A41" s="255" t="s">
        <v>237</v>
      </c>
      <c r="B41" s="255"/>
      <c r="C41" s="255"/>
      <c r="D41" s="215">
        <f>D42+D48</f>
        <v>44.49</v>
      </c>
      <c r="E41" s="215">
        <f>E42+E48</f>
        <v>31.55</v>
      </c>
      <c r="F41" s="215">
        <f>F42+F48</f>
        <v>181.26999999999998</v>
      </c>
      <c r="G41" s="215">
        <f>G42+G48</f>
        <v>1233.8600000000001</v>
      </c>
    </row>
    <row r="42" spans="1:7">
      <c r="A42" s="216"/>
      <c r="B42" s="255" t="s">
        <v>66</v>
      </c>
      <c r="C42" s="255"/>
      <c r="D42" s="215">
        <f>D43+D44+D45+D46</f>
        <v>19.03</v>
      </c>
      <c r="E42" s="215">
        <f>E43+E44+E45+E46</f>
        <v>6.46</v>
      </c>
      <c r="F42" s="215">
        <f>F43+F44+F45+F46</f>
        <v>83.52</v>
      </c>
      <c r="G42" s="215">
        <f>G43+G44+G45+G46</f>
        <v>489.34000000000003</v>
      </c>
    </row>
    <row r="43" spans="1:7">
      <c r="A43" s="218" t="s">
        <v>142</v>
      </c>
      <c r="B43" s="219" t="s">
        <v>143</v>
      </c>
      <c r="C43" s="218">
        <v>60</v>
      </c>
      <c r="D43" s="220">
        <v>0.9</v>
      </c>
      <c r="E43" s="220">
        <v>0.06</v>
      </c>
      <c r="F43" s="220">
        <v>5.28</v>
      </c>
      <c r="G43" s="220">
        <v>27</v>
      </c>
    </row>
    <row r="44" spans="1:7">
      <c r="A44" s="218" t="s">
        <v>222</v>
      </c>
      <c r="B44" s="219" t="s">
        <v>144</v>
      </c>
      <c r="C44" s="218">
        <v>200</v>
      </c>
      <c r="D44" s="220">
        <v>14.09</v>
      </c>
      <c r="E44" s="220">
        <v>5.98</v>
      </c>
      <c r="F44" s="220">
        <v>27.56</v>
      </c>
      <c r="G44" s="220">
        <v>229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21"/>
      <c r="B46" s="219" t="s">
        <v>11</v>
      </c>
      <c r="C46" s="218">
        <v>40</v>
      </c>
      <c r="D46" s="220">
        <v>3.04</v>
      </c>
      <c r="E46" s="220">
        <v>0.32</v>
      </c>
      <c r="F46" s="220">
        <v>19.68</v>
      </c>
      <c r="G46" s="220">
        <v>98.34</v>
      </c>
    </row>
    <row r="47" spans="1:7">
      <c r="A47" s="257" t="s">
        <v>244</v>
      </c>
      <c r="B47" s="257"/>
      <c r="C47" s="216">
        <f>SUM(C43:C46)</f>
        <v>500</v>
      </c>
      <c r="D47" s="220"/>
      <c r="E47" s="220"/>
      <c r="F47" s="220"/>
      <c r="G47" s="220"/>
    </row>
    <row r="48" spans="1:7">
      <c r="A48" s="218"/>
      <c r="B48" s="258" t="s">
        <v>67</v>
      </c>
      <c r="C48" s="258"/>
      <c r="D48" s="215">
        <f>D49+D50+D51+D52+D53+D54</f>
        <v>25.46</v>
      </c>
      <c r="E48" s="215">
        <f>E49+E50+E51+E52+E53+E54</f>
        <v>25.09</v>
      </c>
      <c r="F48" s="215">
        <f>F49+F50+F51+F52+F53+F54</f>
        <v>97.75</v>
      </c>
      <c r="G48" s="215">
        <f>G49+G50+G51+G52+G53+G54</f>
        <v>744.52</v>
      </c>
    </row>
    <row r="49" spans="1:7">
      <c r="A49" s="218" t="s">
        <v>82</v>
      </c>
      <c r="B49" s="219" t="s">
        <v>83</v>
      </c>
      <c r="C49" s="218">
        <v>60</v>
      </c>
      <c r="D49" s="220">
        <v>1.21</v>
      </c>
      <c r="E49" s="220">
        <v>6.2</v>
      </c>
      <c r="F49" s="220">
        <v>12.33</v>
      </c>
      <c r="G49" s="220">
        <v>113</v>
      </c>
    </row>
    <row r="50" spans="1:7" ht="25.5">
      <c r="A50" s="218" t="s">
        <v>117</v>
      </c>
      <c r="B50" s="219" t="s">
        <v>145</v>
      </c>
      <c r="C50" s="218">
        <v>210</v>
      </c>
      <c r="D50" s="220">
        <v>2.64</v>
      </c>
      <c r="E50" s="220">
        <v>3.56</v>
      </c>
      <c r="F50" s="220">
        <v>11.76</v>
      </c>
      <c r="G50" s="220">
        <v>93</v>
      </c>
    </row>
    <row r="51" spans="1:7">
      <c r="A51" s="218" t="s">
        <v>131</v>
      </c>
      <c r="B51" s="219" t="s">
        <v>146</v>
      </c>
      <c r="C51" s="218">
        <v>90</v>
      </c>
      <c r="D51" s="220">
        <v>11.84</v>
      </c>
      <c r="E51" s="220">
        <v>10.06</v>
      </c>
      <c r="F51" s="220">
        <v>16.03</v>
      </c>
      <c r="G51" s="220">
        <v>208</v>
      </c>
    </row>
    <row r="52" spans="1:7">
      <c r="A52" s="221" t="s">
        <v>38</v>
      </c>
      <c r="B52" s="219" t="s">
        <v>36</v>
      </c>
      <c r="C52" s="218">
        <v>150</v>
      </c>
      <c r="D52" s="220">
        <v>8.77</v>
      </c>
      <c r="E52" s="220">
        <v>5.19</v>
      </c>
      <c r="F52" s="220">
        <v>39.630000000000003</v>
      </c>
      <c r="G52" s="220">
        <v>250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7" t="s">
        <v>244</v>
      </c>
      <c r="B55" s="257"/>
      <c r="C55" s="216">
        <f>SUM(C49:C54)</f>
        <v>730</v>
      </c>
      <c r="D55" s="220"/>
      <c r="E55" s="220"/>
      <c r="F55" s="220"/>
      <c r="G55" s="220"/>
    </row>
    <row r="56" spans="1:7" ht="27.95" customHeight="1">
      <c r="A56" s="255" t="s">
        <v>238</v>
      </c>
      <c r="B56" s="255"/>
      <c r="C56" s="255"/>
      <c r="D56" s="215">
        <f>D57+D63</f>
        <v>44.34</v>
      </c>
      <c r="E56" s="215">
        <f>E57+E63</f>
        <v>52.53</v>
      </c>
      <c r="F56" s="215">
        <f>F57+F63</f>
        <v>157.81</v>
      </c>
      <c r="G56" s="215">
        <f>G57+G63</f>
        <v>1314.8159999999998</v>
      </c>
    </row>
    <row r="57" spans="1:7">
      <c r="A57" s="216"/>
      <c r="B57" s="255" t="s">
        <v>66</v>
      </c>
      <c r="C57" s="255"/>
      <c r="D57" s="215">
        <f>D58+D59+D60+D61</f>
        <v>15.93</v>
      </c>
      <c r="E57" s="215">
        <f>E58+E59+E60+E61</f>
        <v>20.72</v>
      </c>
      <c r="F57" s="215">
        <f>F58+F59+F60+F61</f>
        <v>79.509999999999991</v>
      </c>
      <c r="G57" s="215">
        <f>G58+G59+G60+G61</f>
        <v>576.86</v>
      </c>
    </row>
    <row r="58" spans="1:7">
      <c r="A58" s="221"/>
      <c r="B58" s="219" t="s">
        <v>41</v>
      </c>
      <c r="C58" s="218">
        <v>100</v>
      </c>
      <c r="D58" s="220">
        <v>0.4</v>
      </c>
      <c r="E58" s="220">
        <v>0</v>
      </c>
      <c r="F58" s="220">
        <v>9.8000000000000007</v>
      </c>
      <c r="G58" s="220">
        <v>42.84</v>
      </c>
    </row>
    <row r="59" spans="1:7">
      <c r="A59" s="221" t="s">
        <v>290</v>
      </c>
      <c r="B59" s="219" t="s">
        <v>294</v>
      </c>
      <c r="C59" s="218">
        <v>200</v>
      </c>
      <c r="D59" s="220">
        <v>12.49</v>
      </c>
      <c r="E59" s="220">
        <v>20.399999999999999</v>
      </c>
      <c r="F59" s="220">
        <v>40.03</v>
      </c>
      <c r="G59" s="220">
        <v>393.68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40</v>
      </c>
      <c r="D61" s="220">
        <v>3.04</v>
      </c>
      <c r="E61" s="220">
        <v>0.32</v>
      </c>
      <c r="F61" s="220">
        <v>19.68</v>
      </c>
      <c r="G61" s="220">
        <v>98.34</v>
      </c>
    </row>
    <row r="62" spans="1:7" ht="15" customHeight="1">
      <c r="A62" s="257" t="s">
        <v>244</v>
      </c>
      <c r="B62" s="257"/>
      <c r="C62" s="216">
        <f>SUM(C58:C61)</f>
        <v>540</v>
      </c>
      <c r="D62" s="220"/>
      <c r="E62" s="220"/>
      <c r="F62" s="220"/>
      <c r="G62" s="220"/>
    </row>
    <row r="63" spans="1:7" ht="15" customHeight="1">
      <c r="A63" s="218"/>
      <c r="B63" s="258" t="s">
        <v>67</v>
      </c>
      <c r="C63" s="258"/>
      <c r="D63" s="215">
        <f>D64+D65+D66+D67+D68</f>
        <v>28.41</v>
      </c>
      <c r="E63" s="215">
        <f>E64+E65+E66+E67+E68</f>
        <v>31.81</v>
      </c>
      <c r="F63" s="215">
        <f>F64+F65+F66+F67+F68</f>
        <v>78.3</v>
      </c>
      <c r="G63" s="215">
        <f>G64+G65+G66+G67+G68</f>
        <v>737.9559999999999</v>
      </c>
    </row>
    <row r="64" spans="1:7" ht="15" customHeight="1">
      <c r="A64" s="218" t="s">
        <v>184</v>
      </c>
      <c r="B64" s="219" t="s">
        <v>151</v>
      </c>
      <c r="C64" s="218">
        <v>60</v>
      </c>
      <c r="D64" s="220">
        <v>0.88</v>
      </c>
      <c r="E64" s="220">
        <v>3.11</v>
      </c>
      <c r="F64" s="220">
        <v>5.64</v>
      </c>
      <c r="G64" s="220">
        <v>55.8</v>
      </c>
    </row>
    <row r="65" spans="1:7" ht="30" customHeight="1">
      <c r="A65" s="218" t="s">
        <v>180</v>
      </c>
      <c r="B65" s="219" t="s">
        <v>148</v>
      </c>
      <c r="C65" s="218">
        <v>210</v>
      </c>
      <c r="D65" s="220">
        <v>6.51</v>
      </c>
      <c r="E65" s="220">
        <v>12.28</v>
      </c>
      <c r="F65" s="220">
        <v>11.17</v>
      </c>
      <c r="G65" s="220">
        <v>187.77600000000001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6.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7" t="s">
        <v>244</v>
      </c>
      <c r="B69" s="257"/>
      <c r="C69" s="216">
        <f>SUM(C64:C68)</f>
        <v>750</v>
      </c>
      <c r="D69" s="220"/>
      <c r="E69" s="220"/>
      <c r="F69" s="220"/>
      <c r="G69" s="220"/>
    </row>
    <row r="70" spans="1:7" ht="27.95" customHeight="1">
      <c r="A70" s="255" t="s">
        <v>239</v>
      </c>
      <c r="B70" s="255"/>
      <c r="C70" s="255"/>
      <c r="D70" s="215">
        <f>D71+D77</f>
        <v>43.019999999999996</v>
      </c>
      <c r="E70" s="215">
        <f>E71+E77</f>
        <v>40.33</v>
      </c>
      <c r="F70" s="215">
        <f>F71+F77</f>
        <v>191.87</v>
      </c>
      <c r="G70" s="215">
        <f>G71+G77</f>
        <v>1350.3220000000001</v>
      </c>
    </row>
    <row r="71" spans="1:7">
      <c r="A71" s="216"/>
      <c r="B71" s="255" t="s">
        <v>66</v>
      </c>
      <c r="C71" s="255"/>
      <c r="D71" s="215">
        <f>D72+D73+D74+D75</f>
        <v>15.2</v>
      </c>
      <c r="E71" s="215">
        <f>E72+E73+E74+E75</f>
        <v>15.11</v>
      </c>
      <c r="F71" s="215">
        <f>F72+F73+F74+F75</f>
        <v>79.06</v>
      </c>
      <c r="G71" s="215">
        <f>G72+G73+G74+G75</f>
        <v>532.43200000000002</v>
      </c>
    </row>
    <row r="72" spans="1:7">
      <c r="A72" s="218" t="s">
        <v>221</v>
      </c>
      <c r="B72" s="219" t="s">
        <v>150</v>
      </c>
      <c r="C72" s="218">
        <v>105</v>
      </c>
      <c r="D72" s="220">
        <v>6.14</v>
      </c>
      <c r="E72" s="220">
        <v>11.91</v>
      </c>
      <c r="F72" s="220">
        <v>10.92</v>
      </c>
      <c r="G72" s="220">
        <v>178.84</v>
      </c>
    </row>
    <row r="73" spans="1:7">
      <c r="A73" s="218" t="s">
        <v>33</v>
      </c>
      <c r="B73" s="219" t="s">
        <v>12</v>
      </c>
      <c r="C73" s="218">
        <v>150</v>
      </c>
      <c r="D73" s="220">
        <v>5.64</v>
      </c>
      <c r="E73" s="220">
        <v>2.84</v>
      </c>
      <c r="F73" s="220">
        <v>36</v>
      </c>
      <c r="G73" s="220">
        <v>201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21"/>
      <c r="B75" s="226" t="s">
        <v>11</v>
      </c>
      <c r="C75" s="221">
        <v>45</v>
      </c>
      <c r="D75" s="224">
        <v>3.42</v>
      </c>
      <c r="E75" s="224">
        <v>0.36</v>
      </c>
      <c r="F75" s="224">
        <v>22.14</v>
      </c>
      <c r="G75" s="224">
        <v>110.592</v>
      </c>
    </row>
    <row r="76" spans="1:7">
      <c r="A76" s="257" t="s">
        <v>244</v>
      </c>
      <c r="B76" s="257"/>
      <c r="C76" s="216">
        <f>SUM(C72:C75)</f>
        <v>500</v>
      </c>
      <c r="D76" s="220"/>
      <c r="E76" s="220"/>
      <c r="F76" s="220"/>
      <c r="G76" s="220"/>
    </row>
    <row r="77" spans="1:7">
      <c r="A77" s="218"/>
      <c r="B77" s="258" t="s">
        <v>67</v>
      </c>
      <c r="C77" s="258"/>
      <c r="D77" s="215">
        <f>D78+D79+D80+D81+D82+D83</f>
        <v>27.82</v>
      </c>
      <c r="E77" s="215">
        <f>E78+E79+E80+E81+E82+E83</f>
        <v>25.22</v>
      </c>
      <c r="F77" s="215">
        <f>F78+F79+F80+F81+F82+F83</f>
        <v>112.81</v>
      </c>
      <c r="G77" s="215">
        <f>G78+G79+G80+G81+G82+G83</f>
        <v>817.89</v>
      </c>
    </row>
    <row r="78" spans="1:7" ht="18.75" customHeight="1">
      <c r="A78" s="222" t="s">
        <v>187</v>
      </c>
      <c r="B78" s="219" t="s">
        <v>147</v>
      </c>
      <c r="C78" s="218">
        <v>60</v>
      </c>
      <c r="D78" s="220">
        <v>0.74</v>
      </c>
      <c r="E78" s="220">
        <v>0.06</v>
      </c>
      <c r="F78" s="220">
        <v>16.920000000000002</v>
      </c>
      <c r="G78" s="220">
        <v>74.709999999999994</v>
      </c>
    </row>
    <row r="79" spans="1:7" ht="14.25" customHeight="1">
      <c r="A79" s="218" t="s">
        <v>178</v>
      </c>
      <c r="B79" s="219" t="s">
        <v>138</v>
      </c>
      <c r="C79" s="218">
        <v>205</v>
      </c>
      <c r="D79" s="220">
        <v>3.09</v>
      </c>
      <c r="E79" s="220">
        <v>4.6100000000000003</v>
      </c>
      <c r="F79" s="220">
        <v>12.54</v>
      </c>
      <c r="G79" s="220">
        <v>107.36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1">
      <c r="A81" s="221" t="s">
        <v>134</v>
      </c>
      <c r="B81" s="219" t="s">
        <v>154</v>
      </c>
      <c r="C81" s="218">
        <v>150</v>
      </c>
      <c r="D81" s="220">
        <v>16.260000000000002</v>
      </c>
      <c r="E81" s="220">
        <v>4.03</v>
      </c>
      <c r="F81" s="220">
        <v>33.97</v>
      </c>
      <c r="G81" s="220">
        <v>247.3</v>
      </c>
    </row>
    <row r="82" spans="1:21" ht="29.25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1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1">
      <c r="A84" s="257" t="s">
        <v>244</v>
      </c>
      <c r="B84" s="257"/>
      <c r="C84" s="216">
        <f>SUM(C78:C83)</f>
        <v>745</v>
      </c>
      <c r="D84" s="220"/>
      <c r="E84" s="220"/>
      <c r="F84" s="220"/>
      <c r="G84" s="220"/>
    </row>
    <row r="85" spans="1:21" ht="27.95" customHeight="1">
      <c r="A85" s="255" t="s">
        <v>240</v>
      </c>
      <c r="B85" s="255"/>
      <c r="C85" s="255"/>
      <c r="D85" s="215">
        <f>D86+D92</f>
        <v>31.330000000000002</v>
      </c>
      <c r="E85" s="215">
        <f>E86+E92</f>
        <v>55.92</v>
      </c>
      <c r="F85" s="215">
        <f>F86+F92</f>
        <v>177.56</v>
      </c>
      <c r="G85" s="215">
        <f>G86+G92</f>
        <v>1376.7539999999999</v>
      </c>
    </row>
    <row r="86" spans="1:21">
      <c r="A86" s="216"/>
      <c r="B86" s="255" t="s">
        <v>66</v>
      </c>
      <c r="C86" s="255"/>
      <c r="D86" s="215">
        <f>D87+D88+D89+D90</f>
        <v>11.64</v>
      </c>
      <c r="E86" s="215">
        <f>E87+E88+E89+E90</f>
        <v>10.52</v>
      </c>
      <c r="F86" s="215">
        <f>F87+F88+F89+F90</f>
        <v>89.5</v>
      </c>
      <c r="G86" s="215">
        <f>G87+G88+G89+G90</f>
        <v>519.5</v>
      </c>
    </row>
    <row r="87" spans="1:21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1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3"/>
      <c r="N88" s="192"/>
      <c r="O88" s="192"/>
      <c r="P88" s="192"/>
      <c r="Q88" s="192"/>
      <c r="R88" s="192"/>
    </row>
    <row r="89" spans="1:21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3"/>
      <c r="N89" s="192"/>
      <c r="O89" s="192"/>
      <c r="P89" s="192"/>
      <c r="Q89" s="192"/>
      <c r="R89" s="192"/>
    </row>
    <row r="90" spans="1:21">
      <c r="A90" s="222"/>
      <c r="B90" s="219" t="s">
        <v>11</v>
      </c>
      <c r="C90" s="218">
        <v>40</v>
      </c>
      <c r="D90" s="220">
        <v>3.04</v>
      </c>
      <c r="E90" s="220">
        <v>0.32</v>
      </c>
      <c r="F90" s="220">
        <v>19.68</v>
      </c>
      <c r="G90" s="220">
        <v>98.34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21">
      <c r="A91" s="257" t="s">
        <v>244</v>
      </c>
      <c r="B91" s="257"/>
      <c r="C91" s="223">
        <f>SUM(C87:C90)</f>
        <v>543</v>
      </c>
      <c r="D91" s="224"/>
      <c r="E91" s="224"/>
      <c r="F91" s="224"/>
      <c r="G91" s="224"/>
    </row>
    <row r="92" spans="1:21">
      <c r="A92" s="221"/>
      <c r="B92" s="258" t="s">
        <v>67</v>
      </c>
      <c r="C92" s="258"/>
      <c r="D92" s="229">
        <f>D93+D94+D95+D96+D97</f>
        <v>19.690000000000001</v>
      </c>
      <c r="E92" s="229">
        <f>E93+E94+E95+E96+E97</f>
        <v>45.400000000000006</v>
      </c>
      <c r="F92" s="229">
        <f>F93+F94+F95+F96+F97</f>
        <v>88.06</v>
      </c>
      <c r="G92" s="229">
        <f>G93+G94+G95+G96+G97</f>
        <v>857.25400000000002</v>
      </c>
    </row>
    <row r="93" spans="1:21" ht="16.5" customHeight="1">
      <c r="A93" s="218" t="s">
        <v>82</v>
      </c>
      <c r="B93" s="219" t="s">
        <v>83</v>
      </c>
      <c r="C93" s="218">
        <v>60</v>
      </c>
      <c r="D93" s="220">
        <v>1.21</v>
      </c>
      <c r="E93" s="220">
        <v>6.2</v>
      </c>
      <c r="F93" s="220">
        <v>12.33</v>
      </c>
      <c r="G93" s="220">
        <v>113</v>
      </c>
      <c r="H93" s="207"/>
      <c r="I93" s="209"/>
      <c r="J93" s="195"/>
      <c r="K93" s="195"/>
      <c r="L93" s="195"/>
      <c r="M93" s="195"/>
      <c r="N93" s="195"/>
      <c r="O93" s="192"/>
      <c r="P93" s="192"/>
      <c r="Q93" s="192"/>
      <c r="R93" s="192"/>
      <c r="S93" s="192"/>
      <c r="T93" s="192"/>
      <c r="U93" s="192"/>
    </row>
    <row r="94" spans="1:21" ht="28.5" customHeight="1">
      <c r="A94" s="218" t="s">
        <v>124</v>
      </c>
      <c r="B94" s="219" t="s">
        <v>155</v>
      </c>
      <c r="C94" s="218">
        <v>205</v>
      </c>
      <c r="D94" s="220">
        <v>3.96</v>
      </c>
      <c r="E94" s="220">
        <v>4.8600000000000003</v>
      </c>
      <c r="F94" s="220">
        <v>17.010000000000002</v>
      </c>
      <c r="G94" s="220">
        <v>131.81399999999999</v>
      </c>
      <c r="H94" s="211"/>
      <c r="I94" s="210"/>
      <c r="J94" s="18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2"/>
    </row>
    <row r="95" spans="1:21">
      <c r="A95" s="218" t="s">
        <v>226</v>
      </c>
      <c r="B95" s="219" t="s">
        <v>293</v>
      </c>
      <c r="C95" s="218">
        <v>200</v>
      </c>
      <c r="D95" s="220">
        <v>11.46</v>
      </c>
      <c r="E95" s="220">
        <v>34.020000000000003</v>
      </c>
      <c r="F95" s="220">
        <v>9.73</v>
      </c>
      <c r="G95" s="220">
        <v>390.94</v>
      </c>
    </row>
    <row r="96" spans="1:21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195"/>
      <c r="I96" s="195"/>
      <c r="J96" s="195"/>
      <c r="K96" s="195"/>
      <c r="L96" s="195"/>
      <c r="M96" s="195"/>
      <c r="N96" s="183"/>
      <c r="O96" s="195"/>
      <c r="P96" s="195"/>
      <c r="Q96" s="195"/>
      <c r="R96" s="195"/>
      <c r="S96" s="195"/>
    </row>
    <row r="97" spans="1:25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5">
      <c r="A98" s="257" t="s">
        <v>244</v>
      </c>
      <c r="B98" s="257"/>
      <c r="C98" s="216">
        <f>SUM(C93:C97)</f>
        <v>705</v>
      </c>
      <c r="D98" s="220"/>
      <c r="E98" s="220"/>
      <c r="F98" s="220"/>
      <c r="G98" s="220"/>
    </row>
    <row r="99" spans="1:25" ht="27.95" customHeight="1">
      <c r="A99" s="255" t="s">
        <v>64</v>
      </c>
      <c r="B99" s="255"/>
      <c r="C99" s="255"/>
      <c r="D99" s="215">
        <f>D100+D107</f>
        <v>39.83</v>
      </c>
      <c r="E99" s="215">
        <f>E100+E107</f>
        <v>46.419999999999995</v>
      </c>
      <c r="F99" s="215">
        <f>F100+F107</f>
        <v>171.92000000000002</v>
      </c>
      <c r="G99" s="215">
        <f>G100+G107</f>
        <v>1328.424</v>
      </c>
    </row>
    <row r="100" spans="1:25">
      <c r="A100" s="216"/>
      <c r="B100" s="255" t="s">
        <v>66</v>
      </c>
      <c r="C100" s="255"/>
      <c r="D100" s="215">
        <f>D101+D102+D103+D104+D105</f>
        <v>20.170000000000002</v>
      </c>
      <c r="E100" s="215">
        <f>E101+E102+E103+E104+E105</f>
        <v>13.51</v>
      </c>
      <c r="F100" s="215">
        <f>F101+F102+F103+F104+F105</f>
        <v>95.15</v>
      </c>
      <c r="G100" s="215">
        <f>G101+G102+G103+G104+G105</f>
        <v>606.51599999999996</v>
      </c>
    </row>
    <row r="101" spans="1:25" ht="17.25" customHeight="1">
      <c r="A101" s="221" t="s">
        <v>295</v>
      </c>
      <c r="B101" s="219" t="s">
        <v>296</v>
      </c>
      <c r="C101" s="218">
        <v>100</v>
      </c>
      <c r="D101" s="220">
        <v>11.81</v>
      </c>
      <c r="E101" s="220">
        <v>8.11</v>
      </c>
      <c r="F101" s="220">
        <v>4.87</v>
      </c>
      <c r="G101" s="220">
        <v>143.05000000000001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5" ht="13.5" customHeight="1">
      <c r="A102" s="221" t="s">
        <v>183</v>
      </c>
      <c r="B102" s="219" t="s">
        <v>157</v>
      </c>
      <c r="C102" s="218">
        <v>150</v>
      </c>
      <c r="D102" s="220">
        <v>3.81</v>
      </c>
      <c r="E102" s="220">
        <v>2.72</v>
      </c>
      <c r="F102" s="220">
        <v>40</v>
      </c>
      <c r="G102" s="220">
        <v>208.48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</row>
    <row r="103" spans="1:25" ht="14.25" customHeight="1">
      <c r="A103" s="221"/>
      <c r="B103" s="219" t="s">
        <v>62</v>
      </c>
      <c r="C103" s="218">
        <v>20</v>
      </c>
      <c r="D103" s="220">
        <v>1.5</v>
      </c>
      <c r="E103" s="220">
        <v>2.36</v>
      </c>
      <c r="F103" s="220">
        <v>14.98</v>
      </c>
      <c r="G103" s="220">
        <v>91</v>
      </c>
      <c r="H103" s="195"/>
      <c r="I103" s="183"/>
      <c r="J103" s="195"/>
      <c r="K103" s="195"/>
      <c r="L103" s="183"/>
      <c r="M103" s="195"/>
      <c r="N103" s="195"/>
      <c r="O103" s="183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</row>
    <row r="104" spans="1:25" ht="14.25" customHeight="1">
      <c r="A104" s="221">
        <v>323</v>
      </c>
      <c r="B104" s="219" t="s">
        <v>158</v>
      </c>
      <c r="C104" s="218">
        <v>200</v>
      </c>
      <c r="D104" s="220">
        <v>0.01</v>
      </c>
      <c r="E104" s="220"/>
      <c r="F104" s="220">
        <v>15.62</v>
      </c>
      <c r="G104" s="220">
        <v>65.646000000000001</v>
      </c>
      <c r="H104" s="195"/>
      <c r="I104" s="183"/>
      <c r="J104" s="195"/>
      <c r="K104" s="195"/>
      <c r="L104" s="183"/>
      <c r="M104" s="195"/>
      <c r="N104" s="195"/>
      <c r="O104" s="183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</row>
    <row r="105" spans="1:25" ht="14.25" customHeight="1">
      <c r="A105" s="218"/>
      <c r="B105" s="219" t="s">
        <v>11</v>
      </c>
      <c r="C105" s="218">
        <v>40</v>
      </c>
      <c r="D105" s="220">
        <v>3.04</v>
      </c>
      <c r="E105" s="220">
        <v>0.32</v>
      </c>
      <c r="F105" s="220">
        <v>19.68</v>
      </c>
      <c r="G105" s="220">
        <v>98.34</v>
      </c>
      <c r="H105" s="195"/>
      <c r="I105" s="196"/>
      <c r="J105" s="195"/>
      <c r="K105" s="195"/>
      <c r="L105" s="196"/>
      <c r="M105" s="183"/>
      <c r="N105" s="183"/>
      <c r="O105" s="183"/>
      <c r="P105" s="183"/>
      <c r="Q105" s="183"/>
      <c r="R105" s="183"/>
      <c r="S105" s="183"/>
      <c r="T105" s="183"/>
      <c r="U105" s="183"/>
      <c r="V105" s="195"/>
      <c r="W105" s="183"/>
      <c r="X105" s="183"/>
      <c r="Y105" s="196"/>
    </row>
    <row r="106" spans="1:25" ht="15.75" customHeight="1">
      <c r="A106" s="257" t="s">
        <v>244</v>
      </c>
      <c r="B106" s="257"/>
      <c r="C106" s="223">
        <f>SUM(C101:C105)</f>
        <v>510</v>
      </c>
      <c r="D106" s="224"/>
      <c r="E106" s="224"/>
      <c r="F106" s="224"/>
      <c r="G106" s="224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spans="1:25" ht="17.25" customHeight="1">
      <c r="A107" s="218"/>
      <c r="B107" s="258" t="s">
        <v>67</v>
      </c>
      <c r="C107" s="258"/>
      <c r="D107" s="229">
        <f>D108+D109+D110+D111+D112+D113</f>
        <v>19.66</v>
      </c>
      <c r="E107" s="229">
        <f>E108+E109+E110+E111+E112+E113</f>
        <v>32.909999999999997</v>
      </c>
      <c r="F107" s="229">
        <f>F108+F109+F110+F111+F112+F113</f>
        <v>76.77</v>
      </c>
      <c r="G107" s="229">
        <f>G108+G109+G110+G111+G112+G113</f>
        <v>721.90800000000002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spans="1:25" ht="15" customHeight="1">
      <c r="A108" s="218" t="s">
        <v>186</v>
      </c>
      <c r="B108" s="219" t="s">
        <v>137</v>
      </c>
      <c r="C108" s="227">
        <v>60</v>
      </c>
      <c r="D108" s="220">
        <v>0.94</v>
      </c>
      <c r="E108" s="220">
        <v>3.06</v>
      </c>
      <c r="F108" s="220">
        <v>5.66</v>
      </c>
      <c r="G108" s="220">
        <v>55.26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spans="1:25" ht="24" customHeight="1">
      <c r="A109" s="221" t="s">
        <v>181</v>
      </c>
      <c r="B109" s="219" t="s">
        <v>159</v>
      </c>
      <c r="C109" s="227">
        <v>210</v>
      </c>
      <c r="D109" s="220">
        <v>4.6500000000000004</v>
      </c>
      <c r="E109" s="220">
        <v>6.92</v>
      </c>
      <c r="F109" s="220">
        <v>12.49</v>
      </c>
      <c r="G109" s="220">
        <v>134.268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spans="1:25" ht="14.25" customHeight="1">
      <c r="A110" s="221" t="s">
        <v>160</v>
      </c>
      <c r="B110" s="219" t="s">
        <v>161</v>
      </c>
      <c r="C110" s="227">
        <v>110</v>
      </c>
      <c r="D110" s="220">
        <v>9.15</v>
      </c>
      <c r="E110" s="220">
        <v>14.97</v>
      </c>
      <c r="F110" s="220">
        <v>10.6</v>
      </c>
      <c r="G110" s="220">
        <v>217.68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spans="1:25" ht="14.25" customHeight="1">
      <c r="A111" s="218" t="s">
        <v>34</v>
      </c>
      <c r="B111" s="219" t="s">
        <v>32</v>
      </c>
      <c r="C111" s="227">
        <v>150</v>
      </c>
      <c r="D111" s="220">
        <v>3.26</v>
      </c>
      <c r="E111" s="220">
        <v>7.8</v>
      </c>
      <c r="F111" s="220">
        <v>21.99</v>
      </c>
      <c r="G111" s="220">
        <v>176.3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spans="1:25" ht="14.25" customHeight="1">
      <c r="A112" s="218" t="s">
        <v>188</v>
      </c>
      <c r="B112" s="219" t="s">
        <v>90</v>
      </c>
      <c r="C112" s="227">
        <v>200</v>
      </c>
      <c r="D112" s="220">
        <v>0.14000000000000001</v>
      </c>
      <c r="E112" s="220"/>
      <c r="F112" s="220">
        <v>16.190000000000001</v>
      </c>
      <c r="G112" s="220">
        <v>89.23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spans="1:25" ht="13.5" customHeight="1">
      <c r="A113" s="222"/>
      <c r="B113" s="219" t="s">
        <v>11</v>
      </c>
      <c r="C113" s="227">
        <v>20</v>
      </c>
      <c r="D113" s="220">
        <v>1.52</v>
      </c>
      <c r="E113" s="220">
        <v>0.16</v>
      </c>
      <c r="F113" s="220">
        <v>9.84</v>
      </c>
      <c r="G113" s="220">
        <v>49.17</v>
      </c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</row>
    <row r="114" spans="1:25">
      <c r="A114" s="257" t="s">
        <v>244</v>
      </c>
      <c r="B114" s="257"/>
      <c r="C114" s="228">
        <f>SUM(C108:C113)</f>
        <v>750</v>
      </c>
      <c r="D114" s="220"/>
      <c r="E114" s="220"/>
      <c r="F114" s="220"/>
      <c r="G114" s="220"/>
      <c r="H114" s="195"/>
      <c r="I114" s="196"/>
      <c r="J114" s="195"/>
      <c r="K114" s="195"/>
      <c r="L114" s="196"/>
      <c r="M114" s="183"/>
      <c r="N114" s="183"/>
      <c r="O114" s="183"/>
      <c r="P114" s="183"/>
      <c r="Q114" s="183"/>
      <c r="R114" s="183"/>
      <c r="S114" s="183"/>
      <c r="T114" s="183"/>
      <c r="U114" s="183"/>
      <c r="V114" s="195"/>
      <c r="W114" s="183"/>
      <c r="X114" s="183"/>
      <c r="Y114" s="196"/>
    </row>
    <row r="115" spans="1:25" ht="27.95" customHeight="1">
      <c r="A115" s="255" t="s">
        <v>241</v>
      </c>
      <c r="B115" s="255"/>
      <c r="C115" s="255"/>
      <c r="D115" s="215">
        <f>D116+D122</f>
        <v>43.22</v>
      </c>
      <c r="E115" s="215">
        <f>E116+E122</f>
        <v>53.35</v>
      </c>
      <c r="F115" s="215">
        <f>F116+F122</f>
        <v>150.54</v>
      </c>
      <c r="G115" s="215">
        <f>G116+G122</f>
        <v>1295.7260000000001</v>
      </c>
    </row>
    <row r="116" spans="1:25">
      <c r="A116" s="216"/>
      <c r="B116" s="255" t="s">
        <v>66</v>
      </c>
      <c r="C116" s="255"/>
      <c r="D116" s="215">
        <f>D117+D118+D119+D120</f>
        <v>17.759999999999998</v>
      </c>
      <c r="E116" s="215">
        <f>E117+E118+E119+E120</f>
        <v>14.36</v>
      </c>
      <c r="F116" s="215">
        <f>F117+F118+F119+F120</f>
        <v>71.47999999999999</v>
      </c>
      <c r="G116" s="215">
        <f>G117+G118+G119+G120</f>
        <v>504.63599999999997</v>
      </c>
    </row>
    <row r="117" spans="1:25">
      <c r="A117" s="218" t="s">
        <v>224</v>
      </c>
      <c r="B117" s="219" t="s">
        <v>162</v>
      </c>
      <c r="C117" s="218">
        <v>110</v>
      </c>
      <c r="D117" s="220">
        <v>9.08</v>
      </c>
      <c r="E117" s="220">
        <v>11.2</v>
      </c>
      <c r="F117" s="220">
        <v>5.8</v>
      </c>
      <c r="G117" s="220">
        <v>163.29599999999999</v>
      </c>
    </row>
    <row r="118" spans="1:25">
      <c r="A118" s="218" t="s">
        <v>33</v>
      </c>
      <c r="B118" s="219" t="s">
        <v>12</v>
      </c>
      <c r="C118" s="218">
        <v>150</v>
      </c>
      <c r="D118" s="220">
        <v>5.64</v>
      </c>
      <c r="E118" s="220">
        <v>2.84</v>
      </c>
      <c r="F118" s="220">
        <v>36</v>
      </c>
      <c r="G118" s="220">
        <v>201</v>
      </c>
    </row>
    <row r="119" spans="1:25">
      <c r="A119" s="218" t="s">
        <v>176</v>
      </c>
      <c r="B119" s="219" t="s">
        <v>10</v>
      </c>
      <c r="C119" s="222">
        <v>200</v>
      </c>
      <c r="D119" s="220">
        <v>0</v>
      </c>
      <c r="E119" s="220">
        <v>0</v>
      </c>
      <c r="F119" s="220">
        <v>10</v>
      </c>
      <c r="G119" s="220">
        <v>42</v>
      </c>
    </row>
    <row r="120" spans="1:25">
      <c r="A120" s="221"/>
      <c r="B120" s="226" t="s">
        <v>11</v>
      </c>
      <c r="C120" s="221">
        <v>40</v>
      </c>
      <c r="D120" s="224">
        <v>3.04</v>
      </c>
      <c r="E120" s="224">
        <v>0.32</v>
      </c>
      <c r="F120" s="224">
        <v>19.68</v>
      </c>
      <c r="G120" s="224">
        <v>98.34</v>
      </c>
    </row>
    <row r="121" spans="1:25">
      <c r="A121" s="257" t="s">
        <v>244</v>
      </c>
      <c r="B121" s="257"/>
      <c r="C121" s="233">
        <f>SUM(C117:C120)</f>
        <v>500</v>
      </c>
      <c r="D121" s="220"/>
      <c r="E121" s="220"/>
      <c r="F121" s="220"/>
      <c r="G121" s="220"/>
    </row>
    <row r="122" spans="1:25">
      <c r="A122" s="222"/>
      <c r="B122" s="258" t="s">
        <v>67</v>
      </c>
      <c r="C122" s="258"/>
      <c r="D122" s="215">
        <f>D123+D124+D125+D126+D127+D128</f>
        <v>25.46</v>
      </c>
      <c r="E122" s="215">
        <f>E123+E124+E125+E126+E127+E128</f>
        <v>38.99</v>
      </c>
      <c r="F122" s="215">
        <f>F123+F124+F125+F126+F127+F128</f>
        <v>79.06</v>
      </c>
      <c r="G122" s="215">
        <f>G123+G124+G125+G126+G127+G128</f>
        <v>791.09</v>
      </c>
    </row>
    <row r="123" spans="1:25">
      <c r="A123" s="218" t="s">
        <v>68</v>
      </c>
      <c r="B123" s="219" t="s">
        <v>69</v>
      </c>
      <c r="C123" s="218">
        <v>60</v>
      </c>
      <c r="D123" s="220">
        <v>0.84</v>
      </c>
      <c r="E123" s="220">
        <v>3.06</v>
      </c>
      <c r="F123" s="220">
        <v>6.83</v>
      </c>
      <c r="G123" s="220">
        <v>59.75</v>
      </c>
    </row>
    <row r="124" spans="1:25" ht="25.5">
      <c r="A124" s="218" t="s">
        <v>130</v>
      </c>
      <c r="B124" s="219" t="s">
        <v>163</v>
      </c>
      <c r="C124" s="218">
        <v>210</v>
      </c>
      <c r="D124" s="220">
        <v>7.49</v>
      </c>
      <c r="E124" s="220">
        <f>10.16+12.36</f>
        <v>22.52</v>
      </c>
      <c r="F124" s="220">
        <f>4.87+8.96</f>
        <v>13.830000000000002</v>
      </c>
      <c r="G124" s="220">
        <v>292.92</v>
      </c>
    </row>
    <row r="125" spans="1:25">
      <c r="A125" s="218" t="s">
        <v>131</v>
      </c>
      <c r="B125" s="219" t="s">
        <v>146</v>
      </c>
      <c r="C125" s="218">
        <v>90</v>
      </c>
      <c r="D125" s="220">
        <v>11.84</v>
      </c>
      <c r="E125" s="220">
        <v>10.06</v>
      </c>
      <c r="F125" s="220">
        <v>16.03</v>
      </c>
      <c r="G125" s="220">
        <v>208</v>
      </c>
    </row>
    <row r="126" spans="1:25">
      <c r="A126" s="218" t="s">
        <v>164</v>
      </c>
      <c r="B126" s="219" t="s">
        <v>165</v>
      </c>
      <c r="C126" s="218">
        <v>150</v>
      </c>
      <c r="D126" s="220">
        <v>3.14</v>
      </c>
      <c r="E126" s="220">
        <v>3.27</v>
      </c>
      <c r="F126" s="220">
        <v>22.34</v>
      </c>
      <c r="G126" s="220">
        <v>136.5</v>
      </c>
    </row>
    <row r="127" spans="1:25" ht="17.25" customHeight="1">
      <c r="A127" s="221" t="s">
        <v>42</v>
      </c>
      <c r="B127" s="219" t="s">
        <v>216</v>
      </c>
      <c r="C127" s="218">
        <v>200</v>
      </c>
      <c r="D127" s="220">
        <v>1.1499999999999999</v>
      </c>
      <c r="E127" s="220"/>
      <c r="F127" s="220">
        <v>12.03</v>
      </c>
      <c r="G127" s="220">
        <v>55.4</v>
      </c>
    </row>
    <row r="128" spans="1:25">
      <c r="A128" s="222"/>
      <c r="B128" s="219" t="s">
        <v>37</v>
      </c>
      <c r="C128" s="218">
        <v>20</v>
      </c>
      <c r="D128" s="220">
        <v>1</v>
      </c>
      <c r="E128" s="220">
        <v>0.08</v>
      </c>
      <c r="F128" s="220">
        <v>8</v>
      </c>
      <c r="G128" s="220">
        <v>38.520000000000003</v>
      </c>
    </row>
    <row r="129" spans="1:7">
      <c r="A129" s="257" t="s">
        <v>244</v>
      </c>
      <c r="B129" s="257"/>
      <c r="C129" s="216">
        <f>SUM(C123:C128)</f>
        <v>730</v>
      </c>
      <c r="D129" s="220"/>
      <c r="E129" s="220"/>
      <c r="F129" s="220"/>
      <c r="G129" s="220"/>
    </row>
    <row r="130" spans="1:7" ht="27.95" customHeight="1">
      <c r="A130" s="255" t="s">
        <v>242</v>
      </c>
      <c r="B130" s="255"/>
      <c r="C130" s="255"/>
      <c r="D130" s="215">
        <f>D131+D138</f>
        <v>49.44</v>
      </c>
      <c r="E130" s="215">
        <f>E131+E138</f>
        <v>30.969999999999995</v>
      </c>
      <c r="F130" s="215">
        <f>F131+F138</f>
        <v>184.49</v>
      </c>
      <c r="G130" s="215">
        <f>G131+G138</f>
        <v>1261.326</v>
      </c>
    </row>
    <row r="131" spans="1:7">
      <c r="A131" s="216"/>
      <c r="B131" s="255" t="s">
        <v>66</v>
      </c>
      <c r="C131" s="255"/>
      <c r="D131" s="215">
        <f>D132+D133+D134+D135+D136</f>
        <v>28.65</v>
      </c>
      <c r="E131" s="215">
        <f>E132+E133+E134+E135+E136</f>
        <v>11.989999999999998</v>
      </c>
      <c r="F131" s="215">
        <f>F132+F133+F134+F135+F136</f>
        <v>73.56</v>
      </c>
      <c r="G131" s="215">
        <f>G132+G133+G134+G135+G136</f>
        <v>537.27199999999993</v>
      </c>
    </row>
    <row r="132" spans="1:7" ht="13.5" customHeight="1">
      <c r="A132" s="218"/>
      <c r="B132" s="219" t="s">
        <v>166</v>
      </c>
      <c r="C132" s="218">
        <v>40</v>
      </c>
      <c r="D132" s="220">
        <v>5.08</v>
      </c>
      <c r="E132" s="220">
        <v>4.5999999999999996</v>
      </c>
      <c r="F132" s="220">
        <v>0.28000000000000003</v>
      </c>
      <c r="G132" s="220">
        <v>63.911999999999999</v>
      </c>
    </row>
    <row r="133" spans="1:7" ht="25.5">
      <c r="A133" s="242" t="s">
        <v>39</v>
      </c>
      <c r="B133" s="241" t="s">
        <v>254</v>
      </c>
      <c r="C133" s="242">
        <v>120</v>
      </c>
      <c r="D133" s="243">
        <f>18.92+0.06</f>
        <v>18.98</v>
      </c>
      <c r="E133" s="243">
        <f>7.01+0.06</f>
        <v>7.0699999999999994</v>
      </c>
      <c r="F133" s="243">
        <f>15+16.77</f>
        <v>31.77</v>
      </c>
      <c r="G133" s="243">
        <v>276.77999999999997</v>
      </c>
    </row>
    <row r="134" spans="1:7">
      <c r="A134" s="218"/>
      <c r="B134" s="219" t="s">
        <v>41</v>
      </c>
      <c r="C134" s="218">
        <v>100</v>
      </c>
      <c r="D134" s="220">
        <v>0.4</v>
      </c>
      <c r="E134" s="220">
        <v>0</v>
      </c>
      <c r="F134" s="220">
        <v>9.8000000000000007</v>
      </c>
      <c r="G134" s="220">
        <v>42.84</v>
      </c>
    </row>
    <row r="135" spans="1:7">
      <c r="A135" s="218" t="s">
        <v>42</v>
      </c>
      <c r="B135" s="219" t="s">
        <v>216</v>
      </c>
      <c r="C135" s="218">
        <v>200</v>
      </c>
      <c r="D135" s="220">
        <v>1.1499999999999999</v>
      </c>
      <c r="E135" s="220"/>
      <c r="F135" s="220">
        <v>12.03</v>
      </c>
      <c r="G135" s="220">
        <v>55.4</v>
      </c>
    </row>
    <row r="136" spans="1:7">
      <c r="A136" s="221"/>
      <c r="B136" s="226" t="s">
        <v>11</v>
      </c>
      <c r="C136" s="221">
        <v>40</v>
      </c>
      <c r="D136" s="224">
        <v>3.04</v>
      </c>
      <c r="E136" s="224">
        <v>0.32</v>
      </c>
      <c r="F136" s="224">
        <v>19.68</v>
      </c>
      <c r="G136" s="224">
        <v>98.34</v>
      </c>
    </row>
    <row r="137" spans="1:7">
      <c r="A137" s="257" t="s">
        <v>244</v>
      </c>
      <c r="B137" s="257"/>
      <c r="C137" s="216">
        <f>SUM(C132:C136)</f>
        <v>500</v>
      </c>
      <c r="D137" s="220"/>
      <c r="E137" s="220"/>
      <c r="F137" s="220"/>
      <c r="G137" s="220"/>
    </row>
    <row r="138" spans="1:7" ht="18.75" customHeight="1">
      <c r="A138" s="218"/>
      <c r="B138" s="258" t="s">
        <v>67</v>
      </c>
      <c r="C138" s="258"/>
      <c r="D138" s="215">
        <f>D139+D140+D141+D142+D143+D144</f>
        <v>20.79</v>
      </c>
      <c r="E138" s="215">
        <f>E139+E140+E141+E142+E143+E144</f>
        <v>18.979999999999997</v>
      </c>
      <c r="F138" s="215">
        <f>F139+F140+F141+F142+F143+F144</f>
        <v>110.93</v>
      </c>
      <c r="G138" s="215">
        <f>G139+G140+G141+G142+G143+G144</f>
        <v>724.05399999999997</v>
      </c>
    </row>
    <row r="139" spans="1:7">
      <c r="A139" s="222" t="s">
        <v>187</v>
      </c>
      <c r="B139" s="219" t="s">
        <v>147</v>
      </c>
      <c r="C139" s="218">
        <v>60</v>
      </c>
      <c r="D139" s="220">
        <v>0.74</v>
      </c>
      <c r="E139" s="220">
        <v>0.06</v>
      </c>
      <c r="F139" s="220">
        <v>16.920000000000002</v>
      </c>
      <c r="G139" s="220">
        <v>74.709999999999994</v>
      </c>
    </row>
    <row r="140" spans="1:7" ht="25.5">
      <c r="A140" s="218" t="s">
        <v>124</v>
      </c>
      <c r="B140" s="219" t="s">
        <v>155</v>
      </c>
      <c r="C140" s="218">
        <v>205</v>
      </c>
      <c r="D140" s="220">
        <v>3.96</v>
      </c>
      <c r="E140" s="220">
        <v>4.8600000000000003</v>
      </c>
      <c r="F140" s="220">
        <v>17.010000000000002</v>
      </c>
      <c r="G140" s="220">
        <v>131.81399999999999</v>
      </c>
    </row>
    <row r="141" spans="1:7">
      <c r="A141" s="218" t="s">
        <v>229</v>
      </c>
      <c r="B141" s="219" t="s">
        <v>140</v>
      </c>
      <c r="C141" s="218">
        <v>115</v>
      </c>
      <c r="D141" s="220">
        <v>6.32</v>
      </c>
      <c r="E141" s="220">
        <v>8.7899999999999991</v>
      </c>
      <c r="F141" s="220">
        <v>19.37</v>
      </c>
      <c r="G141" s="220">
        <v>187.01</v>
      </c>
    </row>
    <row r="142" spans="1:7">
      <c r="A142" s="221" t="s">
        <v>38</v>
      </c>
      <c r="B142" s="219" t="s">
        <v>36</v>
      </c>
      <c r="C142" s="218">
        <v>150</v>
      </c>
      <c r="D142" s="220">
        <v>8.77</v>
      </c>
      <c r="E142" s="220">
        <v>5.19</v>
      </c>
      <c r="F142" s="220">
        <v>39.630000000000003</v>
      </c>
      <c r="G142" s="220">
        <v>250</v>
      </c>
    </row>
    <row r="143" spans="1:7">
      <c r="A143" s="218" t="s">
        <v>176</v>
      </c>
      <c r="B143" s="219" t="s">
        <v>10</v>
      </c>
      <c r="C143" s="218">
        <v>200</v>
      </c>
      <c r="D143" s="220">
        <v>0</v>
      </c>
      <c r="E143" s="220">
        <v>0</v>
      </c>
      <c r="F143" s="220">
        <v>10</v>
      </c>
      <c r="G143" s="220">
        <v>42</v>
      </c>
    </row>
    <row r="144" spans="1:7" ht="12" customHeight="1">
      <c r="A144" s="222"/>
      <c r="B144" s="219" t="s">
        <v>37</v>
      </c>
      <c r="C144" s="218">
        <v>20</v>
      </c>
      <c r="D144" s="220">
        <v>1</v>
      </c>
      <c r="E144" s="220">
        <v>0.08</v>
      </c>
      <c r="F144" s="220">
        <v>8</v>
      </c>
      <c r="G144" s="220">
        <v>38.520000000000003</v>
      </c>
    </row>
    <row r="145" spans="1:26">
      <c r="A145" s="257" t="s">
        <v>244</v>
      </c>
      <c r="B145" s="257"/>
      <c r="C145" s="216">
        <f>SUM(C139:C144)</f>
        <v>750</v>
      </c>
      <c r="D145" s="220"/>
      <c r="E145" s="220"/>
      <c r="F145" s="220"/>
      <c r="G145" s="220"/>
    </row>
    <row r="146" spans="1:26" ht="27.95" customHeight="1">
      <c r="A146" s="255" t="s">
        <v>243</v>
      </c>
      <c r="B146" s="255"/>
      <c r="C146" s="255"/>
      <c r="D146" s="215">
        <f>D147+D154</f>
        <v>46.149999999999991</v>
      </c>
      <c r="E146" s="215">
        <f>E147+E154</f>
        <v>47.069999999999993</v>
      </c>
      <c r="F146" s="215">
        <f>F147+F154</f>
        <v>159.06</v>
      </c>
      <c r="G146" s="215">
        <f>G147+G154</f>
        <v>1287.23</v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200"/>
    </row>
    <row r="147" spans="1:26">
      <c r="A147" s="216"/>
      <c r="B147" s="255" t="s">
        <v>66</v>
      </c>
      <c r="C147" s="255"/>
      <c r="D147" s="215">
        <f>D148+D149+D150+D151+D152</f>
        <v>24.859999999999996</v>
      </c>
      <c r="E147" s="215">
        <f>E148+E149+E150+E151+E152</f>
        <v>13.040000000000001</v>
      </c>
      <c r="F147" s="215">
        <f>F148+F149+F150+F151+F152</f>
        <v>74.819999999999993</v>
      </c>
      <c r="G147" s="215">
        <f>G148+G149+G150+G151+G152</f>
        <v>536.82000000000005</v>
      </c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200"/>
    </row>
    <row r="148" spans="1:26">
      <c r="A148" s="218" t="s">
        <v>225</v>
      </c>
      <c r="B148" s="219" t="s">
        <v>168</v>
      </c>
      <c r="C148" s="218">
        <v>100</v>
      </c>
      <c r="D148" s="220">
        <v>17.829999999999998</v>
      </c>
      <c r="E148" s="220">
        <v>7.99</v>
      </c>
      <c r="F148" s="220">
        <v>4.25</v>
      </c>
      <c r="G148" s="220">
        <v>165</v>
      </c>
      <c r="H148" s="195"/>
      <c r="I148" s="195"/>
      <c r="J148" s="195"/>
      <c r="K148" s="195"/>
      <c r="L148" s="195"/>
      <c r="M148" s="195"/>
      <c r="N148" s="195"/>
      <c r="O148" s="183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6">
      <c r="A149" s="221" t="s">
        <v>183</v>
      </c>
      <c r="B149" s="219" t="s">
        <v>157</v>
      </c>
      <c r="C149" s="218">
        <v>150</v>
      </c>
      <c r="D149" s="220">
        <v>3.81</v>
      </c>
      <c r="E149" s="220">
        <v>2.72</v>
      </c>
      <c r="F149" s="220">
        <v>40</v>
      </c>
      <c r="G149" s="220">
        <v>208.48</v>
      </c>
      <c r="H149" s="195"/>
      <c r="I149" s="195"/>
      <c r="J149" s="195"/>
      <c r="K149" s="195"/>
      <c r="L149" s="195"/>
      <c r="M149" s="183"/>
      <c r="N149" s="183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</row>
    <row r="150" spans="1:26">
      <c r="A150" s="222" t="s">
        <v>185</v>
      </c>
      <c r="B150" s="219" t="s">
        <v>169</v>
      </c>
      <c r="C150" s="218">
        <v>20</v>
      </c>
      <c r="D150" s="220">
        <v>0.18</v>
      </c>
      <c r="E150" s="220">
        <v>2.0099999999999998</v>
      </c>
      <c r="F150" s="220">
        <v>0.89</v>
      </c>
      <c r="G150" s="220">
        <v>23</v>
      </c>
      <c r="H150" s="195"/>
      <c r="I150" s="183"/>
      <c r="J150" s="195"/>
      <c r="K150" s="195"/>
      <c r="L150" s="195"/>
      <c r="M150" s="195"/>
      <c r="N150" s="195"/>
      <c r="O150" s="183"/>
      <c r="P150" s="183"/>
      <c r="Q150" s="183"/>
      <c r="R150" s="183"/>
      <c r="S150" s="183"/>
      <c r="T150" s="183"/>
      <c r="U150" s="183"/>
      <c r="V150" s="195"/>
      <c r="W150" s="183"/>
      <c r="X150" s="183"/>
      <c r="Y150" s="195"/>
    </row>
    <row r="151" spans="1:26">
      <c r="A151" s="218" t="s">
        <v>176</v>
      </c>
      <c r="B151" s="219" t="s">
        <v>10</v>
      </c>
      <c r="C151" s="222">
        <v>200</v>
      </c>
      <c r="D151" s="220">
        <v>0</v>
      </c>
      <c r="E151" s="220">
        <v>0</v>
      </c>
      <c r="F151" s="220">
        <v>10</v>
      </c>
      <c r="G151" s="220">
        <v>42</v>
      </c>
      <c r="H151" s="195"/>
      <c r="I151" s="183"/>
      <c r="J151" s="195"/>
      <c r="K151" s="195"/>
      <c r="L151" s="195"/>
      <c r="M151" s="195"/>
      <c r="N151" s="195"/>
      <c r="O151" s="183"/>
      <c r="P151" s="183"/>
      <c r="Q151" s="183"/>
      <c r="R151" s="183"/>
      <c r="S151" s="183"/>
      <c r="T151" s="183"/>
      <c r="U151" s="183"/>
      <c r="V151" s="195"/>
      <c r="W151" s="183"/>
      <c r="X151" s="183"/>
      <c r="Y151" s="195"/>
    </row>
    <row r="152" spans="1:26">
      <c r="A152" s="221"/>
      <c r="B152" s="226" t="s">
        <v>11</v>
      </c>
      <c r="C152" s="221">
        <v>40</v>
      </c>
      <c r="D152" s="224">
        <v>3.04</v>
      </c>
      <c r="E152" s="224">
        <v>0.32</v>
      </c>
      <c r="F152" s="224">
        <v>19.68</v>
      </c>
      <c r="G152" s="224">
        <v>98.34</v>
      </c>
      <c r="H152" s="195"/>
      <c r="I152" s="196"/>
      <c r="J152" s="195"/>
      <c r="K152" s="195"/>
      <c r="L152" s="196"/>
      <c r="M152" s="183"/>
      <c r="N152" s="183"/>
      <c r="O152" s="183"/>
      <c r="P152" s="183"/>
      <c r="Q152" s="183"/>
      <c r="R152" s="183"/>
      <c r="S152" s="183"/>
      <c r="T152" s="183"/>
      <c r="U152" s="183"/>
      <c r="V152" s="195"/>
      <c r="W152" s="183"/>
      <c r="X152" s="183"/>
      <c r="Y152" s="196"/>
    </row>
    <row r="153" spans="1:26">
      <c r="A153" s="257" t="s">
        <v>244</v>
      </c>
      <c r="B153" s="257"/>
      <c r="C153" s="228">
        <f>SUM(C148:C152)</f>
        <v>510</v>
      </c>
      <c r="D153" s="220"/>
      <c r="E153" s="220"/>
      <c r="F153" s="220"/>
      <c r="G153" s="220"/>
      <c r="H153" s="201"/>
      <c r="I153" s="202"/>
      <c r="J153" s="201"/>
      <c r="K153" s="201"/>
      <c r="L153" s="201"/>
      <c r="M153" s="203"/>
      <c r="N153" s="203"/>
      <c r="O153" s="202"/>
      <c r="P153" s="202"/>
      <c r="Q153" s="202"/>
      <c r="R153" s="202"/>
      <c r="S153" s="202"/>
      <c r="T153" s="202"/>
      <c r="U153" s="202"/>
      <c r="V153" s="203"/>
      <c r="W153" s="202"/>
      <c r="X153" s="202"/>
      <c r="Y153" s="203"/>
    </row>
    <row r="154" spans="1:26">
      <c r="A154" s="218"/>
      <c r="B154" s="258" t="s">
        <v>67</v>
      </c>
      <c r="C154" s="258"/>
      <c r="D154" s="215">
        <f>D155+D156+D157+D158+D159+D160</f>
        <v>21.289999999999996</v>
      </c>
      <c r="E154" s="215">
        <f>E155+E156+E157+E158+E159+E160</f>
        <v>34.029999999999994</v>
      </c>
      <c r="F154" s="215">
        <f>F155+F156+F157+F158+F159+F160</f>
        <v>84.240000000000009</v>
      </c>
      <c r="G154" s="215">
        <f>G155+G156+G157+G158+G159+G160</f>
        <v>750.41</v>
      </c>
      <c r="H154" s="201"/>
      <c r="I154" s="202"/>
      <c r="J154" s="201"/>
      <c r="K154" s="201"/>
      <c r="L154" s="201"/>
      <c r="M154" s="203"/>
      <c r="N154" s="203"/>
      <c r="O154" s="202"/>
      <c r="P154" s="202"/>
      <c r="Q154" s="202"/>
      <c r="R154" s="202"/>
      <c r="S154" s="202"/>
      <c r="T154" s="202"/>
      <c r="U154" s="202"/>
      <c r="V154" s="203"/>
      <c r="W154" s="202"/>
      <c r="X154" s="202"/>
      <c r="Y154" s="203"/>
    </row>
    <row r="155" spans="1:26">
      <c r="A155" s="218" t="s">
        <v>142</v>
      </c>
      <c r="B155" s="219" t="s">
        <v>143</v>
      </c>
      <c r="C155" s="218">
        <v>60</v>
      </c>
      <c r="D155" s="220">
        <v>0.9</v>
      </c>
      <c r="E155" s="220">
        <v>0.06</v>
      </c>
      <c r="F155" s="220">
        <v>5.28</v>
      </c>
      <c r="G155" s="220">
        <v>27</v>
      </c>
      <c r="H155" s="201"/>
      <c r="I155" s="202"/>
      <c r="J155" s="201"/>
      <c r="K155" s="201"/>
      <c r="L155" s="201"/>
      <c r="M155" s="203"/>
      <c r="N155" s="203"/>
      <c r="O155" s="202"/>
      <c r="P155" s="202"/>
      <c r="Q155" s="202"/>
      <c r="R155" s="202"/>
      <c r="S155" s="202"/>
      <c r="T155" s="202"/>
      <c r="U155" s="202"/>
      <c r="V155" s="203"/>
      <c r="W155" s="202"/>
      <c r="X155" s="202"/>
      <c r="Y155" s="203"/>
    </row>
    <row r="156" spans="1:26" ht="25.5">
      <c r="A156" s="221" t="s">
        <v>101</v>
      </c>
      <c r="B156" s="219" t="s">
        <v>170</v>
      </c>
      <c r="C156" s="218">
        <v>205</v>
      </c>
      <c r="D156" s="220">
        <v>5.81</v>
      </c>
      <c r="E156" s="220">
        <v>11.82</v>
      </c>
      <c r="F156" s="220">
        <v>15.48</v>
      </c>
      <c r="G156" s="220">
        <v>196</v>
      </c>
      <c r="H156" s="201"/>
      <c r="I156" s="202"/>
      <c r="J156" s="201"/>
      <c r="K156" s="201"/>
      <c r="L156" s="201"/>
      <c r="M156" s="203"/>
      <c r="N156" s="203"/>
      <c r="O156" s="202"/>
      <c r="P156" s="202"/>
      <c r="Q156" s="202"/>
      <c r="R156" s="202"/>
      <c r="S156" s="202"/>
      <c r="T156" s="202"/>
      <c r="U156" s="202"/>
      <c r="V156" s="203"/>
      <c r="W156" s="202"/>
      <c r="X156" s="202"/>
      <c r="Y156" s="203"/>
    </row>
    <row r="157" spans="1:26">
      <c r="A157" s="218" t="s">
        <v>221</v>
      </c>
      <c r="B157" s="219" t="s">
        <v>150</v>
      </c>
      <c r="C157" s="218">
        <v>105</v>
      </c>
      <c r="D157" s="220">
        <v>6.14</v>
      </c>
      <c r="E157" s="220">
        <v>11.91</v>
      </c>
      <c r="F157" s="220">
        <v>10.92</v>
      </c>
      <c r="G157" s="220">
        <v>178.84</v>
      </c>
      <c r="H157" s="201"/>
      <c r="I157" s="202"/>
      <c r="J157" s="201"/>
      <c r="K157" s="201"/>
      <c r="L157" s="201"/>
      <c r="M157" s="203"/>
      <c r="N157" s="203"/>
      <c r="O157" s="202"/>
      <c r="P157" s="202"/>
      <c r="Q157" s="202"/>
      <c r="R157" s="202"/>
      <c r="S157" s="202"/>
      <c r="T157" s="202"/>
      <c r="U157" s="202"/>
      <c r="V157" s="203"/>
      <c r="W157" s="202"/>
      <c r="X157" s="202"/>
      <c r="Y157" s="203"/>
    </row>
    <row r="158" spans="1:26" ht="12" customHeight="1">
      <c r="A158" s="218" t="s">
        <v>132</v>
      </c>
      <c r="B158" s="219" t="s">
        <v>133</v>
      </c>
      <c r="C158" s="218">
        <v>150</v>
      </c>
      <c r="D158" s="220">
        <v>5.77</v>
      </c>
      <c r="E158" s="220">
        <v>10.08</v>
      </c>
      <c r="F158" s="220">
        <v>30.69</v>
      </c>
      <c r="G158" s="220">
        <v>244</v>
      </c>
      <c r="H158" s="201"/>
      <c r="I158" s="202"/>
      <c r="J158" s="201"/>
      <c r="K158" s="201"/>
      <c r="L158" s="201"/>
      <c r="M158" s="203"/>
      <c r="N158" s="203"/>
      <c r="O158" s="202"/>
      <c r="P158" s="202"/>
      <c r="Q158" s="202"/>
      <c r="R158" s="202"/>
      <c r="S158" s="202"/>
      <c r="T158" s="202"/>
      <c r="U158" s="202"/>
      <c r="V158" s="203"/>
      <c r="W158" s="202"/>
      <c r="X158" s="202"/>
      <c r="Y158" s="203"/>
    </row>
    <row r="159" spans="1:26">
      <c r="A159" s="221" t="s">
        <v>42</v>
      </c>
      <c r="B159" s="219" t="s">
        <v>216</v>
      </c>
      <c r="C159" s="218">
        <v>200</v>
      </c>
      <c r="D159" s="220">
        <v>1.1499999999999999</v>
      </c>
      <c r="E159" s="220"/>
      <c r="F159" s="220">
        <v>12.03</v>
      </c>
      <c r="G159" s="220">
        <v>55.4</v>
      </c>
      <c r="H159" s="201"/>
      <c r="I159" s="202"/>
      <c r="J159" s="201"/>
      <c r="K159" s="201"/>
      <c r="L159" s="201"/>
      <c r="M159" s="203"/>
      <c r="N159" s="203"/>
      <c r="O159" s="202"/>
      <c r="P159" s="202"/>
      <c r="Q159" s="202"/>
      <c r="R159" s="202"/>
      <c r="S159" s="202"/>
      <c r="T159" s="202"/>
      <c r="U159" s="202"/>
      <c r="V159" s="203"/>
      <c r="W159" s="202"/>
      <c r="X159" s="202"/>
      <c r="Y159" s="203"/>
    </row>
    <row r="160" spans="1:26">
      <c r="A160" s="222"/>
      <c r="B160" s="219" t="s">
        <v>11</v>
      </c>
      <c r="C160" s="218">
        <v>20</v>
      </c>
      <c r="D160" s="220">
        <v>1.52</v>
      </c>
      <c r="E160" s="220">
        <v>0.16</v>
      </c>
      <c r="F160" s="220">
        <v>9.84</v>
      </c>
      <c r="G160" s="220">
        <v>49.17</v>
      </c>
      <c r="H160" s="201"/>
      <c r="I160" s="202"/>
      <c r="J160" s="201"/>
      <c r="K160" s="201"/>
      <c r="L160" s="201"/>
      <c r="M160" s="203"/>
      <c r="N160" s="203"/>
      <c r="O160" s="202"/>
      <c r="P160" s="202"/>
      <c r="Q160" s="202"/>
      <c r="R160" s="202"/>
      <c r="S160" s="202"/>
      <c r="T160" s="202"/>
      <c r="U160" s="202"/>
      <c r="V160" s="203"/>
      <c r="W160" s="202"/>
      <c r="X160" s="202"/>
      <c r="Y160" s="203"/>
    </row>
    <row r="161" spans="1:25">
      <c r="A161" s="257" t="s">
        <v>244</v>
      </c>
      <c r="B161" s="257"/>
      <c r="C161" s="216">
        <f>SUM(C155:C160)</f>
        <v>740</v>
      </c>
      <c r="D161" s="220"/>
      <c r="E161" s="220"/>
      <c r="F161" s="220"/>
      <c r="G161" s="220"/>
      <c r="H161" s="201"/>
      <c r="I161" s="202"/>
      <c r="J161" s="201"/>
      <c r="K161" s="201"/>
      <c r="L161" s="201"/>
      <c r="M161" s="203"/>
      <c r="N161" s="203"/>
      <c r="O161" s="202"/>
      <c r="P161" s="202"/>
      <c r="Q161" s="202"/>
      <c r="R161" s="202"/>
      <c r="S161" s="202"/>
      <c r="T161" s="202"/>
      <c r="U161" s="202"/>
      <c r="V161" s="203"/>
      <c r="W161" s="202"/>
      <c r="X161" s="202"/>
      <c r="Y161" s="203"/>
    </row>
    <row r="162" spans="1:25" ht="27" customHeight="1">
      <c r="A162" s="255" t="s">
        <v>255</v>
      </c>
      <c r="B162" s="255"/>
      <c r="C162" s="255"/>
      <c r="D162" s="215">
        <f>D163+D171</f>
        <v>43.870000000000005</v>
      </c>
      <c r="E162" s="215">
        <f>E163+E171</f>
        <v>51.95</v>
      </c>
      <c r="F162" s="215">
        <f>F163+F171</f>
        <v>176.43</v>
      </c>
      <c r="G162" s="215">
        <f>G163+G171</f>
        <v>1391.49</v>
      </c>
    </row>
    <row r="163" spans="1:25">
      <c r="A163" s="216"/>
      <c r="B163" s="217" t="s">
        <v>66</v>
      </c>
      <c r="C163" s="216"/>
      <c r="D163" s="215">
        <f>D164+D165+D166+D167+D168+D169</f>
        <v>17.190000000000001</v>
      </c>
      <c r="E163" s="215">
        <f>E164+E165+E166+E167+E168+E169</f>
        <v>20.77</v>
      </c>
      <c r="F163" s="215">
        <f>F164+F165+F166+F167+F168+F169</f>
        <v>96.19</v>
      </c>
      <c r="G163" s="215">
        <f>G164+G165+G166+G167+G168+G169</f>
        <v>664.29000000000008</v>
      </c>
    </row>
    <row r="164" spans="1:25">
      <c r="A164" s="218" t="s">
        <v>175</v>
      </c>
      <c r="B164" s="219" t="s">
        <v>35</v>
      </c>
      <c r="C164" s="218">
        <v>10</v>
      </c>
      <c r="D164" s="220">
        <v>2.6</v>
      </c>
      <c r="E164" s="220">
        <v>2.65</v>
      </c>
      <c r="F164" s="220">
        <v>0.35</v>
      </c>
      <c r="G164" s="220">
        <v>36.24</v>
      </c>
    </row>
    <row r="165" spans="1:25">
      <c r="A165" s="218" t="s">
        <v>173</v>
      </c>
      <c r="B165" s="219" t="s">
        <v>136</v>
      </c>
      <c r="C165" s="218">
        <v>5</v>
      </c>
      <c r="D165" s="220">
        <v>0.05</v>
      </c>
      <c r="E165" s="220">
        <v>3.63</v>
      </c>
      <c r="F165" s="220">
        <v>7.0000000000000007E-2</v>
      </c>
      <c r="G165" s="220">
        <v>33.11</v>
      </c>
    </row>
    <row r="166" spans="1:25" ht="25.5">
      <c r="A166" s="218" t="s">
        <v>174</v>
      </c>
      <c r="B166" s="219" t="s">
        <v>201</v>
      </c>
      <c r="C166" s="218">
        <v>205</v>
      </c>
      <c r="D166" s="220">
        <v>8.5</v>
      </c>
      <c r="E166" s="220">
        <v>9.4499999999999993</v>
      </c>
      <c r="F166" s="220">
        <v>36.130000000000003</v>
      </c>
      <c r="G166" s="220">
        <v>272.60000000000002</v>
      </c>
    </row>
    <row r="167" spans="1:25">
      <c r="A167" s="218"/>
      <c r="B167" s="219" t="s">
        <v>62</v>
      </c>
      <c r="C167" s="218">
        <v>40</v>
      </c>
      <c r="D167" s="220">
        <v>3</v>
      </c>
      <c r="E167" s="220">
        <v>4.72</v>
      </c>
      <c r="F167" s="220">
        <v>29.96</v>
      </c>
      <c r="G167" s="220">
        <v>182</v>
      </c>
    </row>
    <row r="168" spans="1:25">
      <c r="A168" s="221" t="s">
        <v>176</v>
      </c>
      <c r="B168" s="219" t="s">
        <v>10</v>
      </c>
      <c r="C168" s="222">
        <v>200</v>
      </c>
      <c r="D168" s="220">
        <v>0</v>
      </c>
      <c r="E168" s="220">
        <v>0</v>
      </c>
      <c r="F168" s="220">
        <v>10</v>
      </c>
      <c r="G168" s="220">
        <v>42</v>
      </c>
    </row>
    <row r="169" spans="1:25">
      <c r="A169" s="218"/>
      <c r="B169" s="219" t="s">
        <v>11</v>
      </c>
      <c r="C169" s="218">
        <v>40</v>
      </c>
      <c r="D169" s="220">
        <v>3.04</v>
      </c>
      <c r="E169" s="220">
        <v>0.32</v>
      </c>
      <c r="F169" s="220">
        <v>19.68</v>
      </c>
      <c r="G169" s="220">
        <v>98.34</v>
      </c>
    </row>
    <row r="170" spans="1:25">
      <c r="A170" s="253" t="s">
        <v>244</v>
      </c>
      <c r="B170" s="254"/>
      <c r="C170" s="223">
        <f>SUM(C164:C169)</f>
        <v>500</v>
      </c>
      <c r="D170" s="224"/>
      <c r="E170" s="224"/>
      <c r="F170" s="224"/>
      <c r="G170" s="224"/>
    </row>
    <row r="171" spans="1:25">
      <c r="A171" s="221"/>
      <c r="B171" s="258" t="s">
        <v>67</v>
      </c>
      <c r="C171" s="258"/>
      <c r="D171" s="229">
        <f>D172+D173+D174+D175+D177</f>
        <v>26.680000000000003</v>
      </c>
      <c r="E171" s="229">
        <f>E172+E173+E174+E175+E177</f>
        <v>31.180000000000003</v>
      </c>
      <c r="F171" s="229">
        <f>F172+F173+F174+F175+F177</f>
        <v>80.240000000000009</v>
      </c>
      <c r="G171" s="229">
        <f>G172+G173+G174+G175+G177</f>
        <v>727.19999999999993</v>
      </c>
    </row>
    <row r="172" spans="1:25">
      <c r="A172" s="218" t="s">
        <v>82</v>
      </c>
      <c r="B172" s="225" t="s">
        <v>83</v>
      </c>
      <c r="C172" s="230">
        <v>60</v>
      </c>
      <c r="D172" s="220">
        <v>1.21</v>
      </c>
      <c r="E172" s="220">
        <v>6.2</v>
      </c>
      <c r="F172" s="220">
        <v>12.33</v>
      </c>
      <c r="G172" s="220">
        <v>113</v>
      </c>
    </row>
    <row r="173" spans="1:25">
      <c r="A173" s="218" t="s">
        <v>279</v>
      </c>
      <c r="B173" s="225" t="s">
        <v>278</v>
      </c>
      <c r="C173" s="218">
        <v>205</v>
      </c>
      <c r="D173" s="220">
        <v>1.96</v>
      </c>
      <c r="E173" s="220">
        <v>4.45</v>
      </c>
      <c r="F173" s="220">
        <v>13.72</v>
      </c>
      <c r="G173" s="220">
        <v>102.73</v>
      </c>
    </row>
    <row r="174" spans="1:25">
      <c r="A174" s="218" t="s">
        <v>220</v>
      </c>
      <c r="B174" s="225" t="s">
        <v>153</v>
      </c>
      <c r="C174" s="218">
        <v>110</v>
      </c>
      <c r="D174" s="220">
        <v>5.73</v>
      </c>
      <c r="E174" s="220">
        <v>16.34</v>
      </c>
      <c r="F174" s="220">
        <v>10.38</v>
      </c>
      <c r="G174" s="220">
        <v>215</v>
      </c>
    </row>
    <row r="175" spans="1:25">
      <c r="A175" s="221" t="s">
        <v>134</v>
      </c>
      <c r="B175" s="225" t="s">
        <v>154</v>
      </c>
      <c r="C175" s="218">
        <v>150</v>
      </c>
      <c r="D175" s="220">
        <v>16.260000000000002</v>
      </c>
      <c r="E175" s="220">
        <v>4.03</v>
      </c>
      <c r="F175" s="220">
        <v>33.97</v>
      </c>
      <c r="G175" s="220">
        <v>247.3</v>
      </c>
    </row>
    <row r="176" spans="1:25" ht="25.5">
      <c r="A176" s="218" t="s">
        <v>42</v>
      </c>
      <c r="B176" s="219" t="s">
        <v>217</v>
      </c>
      <c r="C176" s="218">
        <v>200</v>
      </c>
      <c r="D176" s="220">
        <v>1</v>
      </c>
      <c r="E176" s="220">
        <v>0.1</v>
      </c>
      <c r="F176" s="220">
        <v>31</v>
      </c>
      <c r="G176" s="220">
        <v>135</v>
      </c>
    </row>
    <row r="177" spans="1:7">
      <c r="A177" s="218"/>
      <c r="B177" s="225" t="s">
        <v>11</v>
      </c>
      <c r="C177" s="218">
        <v>20</v>
      </c>
      <c r="D177" s="220">
        <v>1.52</v>
      </c>
      <c r="E177" s="220">
        <v>0.16</v>
      </c>
      <c r="F177" s="220">
        <v>9.84</v>
      </c>
      <c r="G177" s="220">
        <v>49.17</v>
      </c>
    </row>
    <row r="178" spans="1:7">
      <c r="A178" s="253" t="s">
        <v>244</v>
      </c>
      <c r="B178" s="254"/>
      <c r="C178" s="223">
        <f>SUM(C172:C177)</f>
        <v>745</v>
      </c>
      <c r="D178" s="224"/>
      <c r="E178" s="224"/>
      <c r="F178" s="224"/>
      <c r="G178" s="224"/>
    </row>
    <row r="179" spans="1:7" ht="22.5" customHeight="1">
      <c r="A179" s="255" t="s">
        <v>256</v>
      </c>
      <c r="B179" s="255"/>
      <c r="C179" s="255"/>
      <c r="D179" s="215">
        <f>D180+D187</f>
        <v>54.61</v>
      </c>
      <c r="E179" s="215">
        <f>E180+E187</f>
        <v>72.489999999999995</v>
      </c>
      <c r="F179" s="215">
        <f>F180+F187</f>
        <v>160.68</v>
      </c>
      <c r="G179" s="215">
        <f>G180+G187</f>
        <v>1550.3</v>
      </c>
    </row>
    <row r="180" spans="1:7">
      <c r="A180" s="216"/>
      <c r="B180" s="255" t="s">
        <v>66</v>
      </c>
      <c r="C180" s="255"/>
      <c r="D180" s="215">
        <f>D181+D182+D183+D184+D185</f>
        <v>24.979999999999997</v>
      </c>
      <c r="E180" s="215">
        <f>E181+E182+E183+E184+E185</f>
        <v>17.579999999999998</v>
      </c>
      <c r="F180" s="215">
        <f>F181+F182+F183+F184+F185</f>
        <v>88.259999999999991</v>
      </c>
      <c r="G180" s="215">
        <f>G181+G182+G183+G184+G185</f>
        <v>634.74</v>
      </c>
    </row>
    <row r="181" spans="1:7">
      <c r="A181" s="221" t="s">
        <v>131</v>
      </c>
      <c r="B181" s="225" t="s">
        <v>146</v>
      </c>
      <c r="C181" s="218">
        <v>90</v>
      </c>
      <c r="D181" s="220">
        <v>11.84</v>
      </c>
      <c r="E181" s="220">
        <v>10.06</v>
      </c>
      <c r="F181" s="220">
        <v>16.03</v>
      </c>
      <c r="G181" s="220">
        <v>208</v>
      </c>
    </row>
    <row r="182" spans="1:7">
      <c r="A182" s="221" t="s">
        <v>38</v>
      </c>
      <c r="B182" s="225" t="s">
        <v>36</v>
      </c>
      <c r="C182" s="218">
        <v>150</v>
      </c>
      <c r="D182" s="220">
        <v>8.77</v>
      </c>
      <c r="E182" s="220">
        <v>5.19</v>
      </c>
      <c r="F182" s="220">
        <v>39.630000000000003</v>
      </c>
      <c r="G182" s="220">
        <v>250</v>
      </c>
    </row>
    <row r="183" spans="1:7">
      <c r="A183" s="222" t="s">
        <v>185</v>
      </c>
      <c r="B183" s="219" t="s">
        <v>169</v>
      </c>
      <c r="C183" s="218">
        <v>20</v>
      </c>
      <c r="D183" s="220">
        <v>0.18</v>
      </c>
      <c r="E183" s="220">
        <v>2.0099999999999998</v>
      </c>
      <c r="F183" s="220">
        <v>0.89</v>
      </c>
      <c r="G183" s="220">
        <v>23</v>
      </c>
    </row>
    <row r="184" spans="1:7">
      <c r="A184" s="218" t="s">
        <v>42</v>
      </c>
      <c r="B184" s="219" t="s">
        <v>216</v>
      </c>
      <c r="C184" s="218">
        <v>200</v>
      </c>
      <c r="D184" s="220">
        <v>1.1499999999999999</v>
      </c>
      <c r="E184" s="220"/>
      <c r="F184" s="220">
        <v>12.03</v>
      </c>
      <c r="G184" s="220">
        <v>55.4</v>
      </c>
    </row>
    <row r="185" spans="1:7">
      <c r="A185" s="218"/>
      <c r="B185" s="219" t="s">
        <v>11</v>
      </c>
      <c r="C185" s="218">
        <v>40</v>
      </c>
      <c r="D185" s="220">
        <v>3.04</v>
      </c>
      <c r="E185" s="220">
        <v>0.32</v>
      </c>
      <c r="F185" s="220">
        <v>19.68</v>
      </c>
      <c r="G185" s="220">
        <v>98.34</v>
      </c>
    </row>
    <row r="186" spans="1:7">
      <c r="A186" s="253" t="s">
        <v>244</v>
      </c>
      <c r="B186" s="254"/>
      <c r="C186" s="216">
        <f>SUM(C181:C185)</f>
        <v>500</v>
      </c>
      <c r="D186" s="220"/>
      <c r="E186" s="220"/>
      <c r="F186" s="220"/>
      <c r="G186" s="220"/>
    </row>
    <row r="187" spans="1:7">
      <c r="A187" s="218"/>
      <c r="B187" s="258" t="s">
        <v>67</v>
      </c>
      <c r="C187" s="258"/>
      <c r="D187" s="215">
        <f>D188+D189+D190+D191+D192+D193</f>
        <v>29.63</v>
      </c>
      <c r="E187" s="215">
        <f>E188+E189+E190+E191+E192+E193</f>
        <v>54.91</v>
      </c>
      <c r="F187" s="215">
        <f>F188+F189+F190+F191+F192+F193</f>
        <v>72.42</v>
      </c>
      <c r="G187" s="215">
        <f>G188+G189+G190+G191+G192+G193</f>
        <v>915.56</v>
      </c>
    </row>
    <row r="188" spans="1:7">
      <c r="A188" s="218" t="s">
        <v>281</v>
      </c>
      <c r="B188" s="219" t="s">
        <v>280</v>
      </c>
      <c r="C188" s="218">
        <v>60</v>
      </c>
      <c r="D188" s="231">
        <v>0.48</v>
      </c>
      <c r="E188" s="220">
        <v>0</v>
      </c>
      <c r="F188" s="220">
        <v>1.02</v>
      </c>
      <c r="G188" s="220">
        <v>6</v>
      </c>
    </row>
    <row r="189" spans="1:7" ht="25.5">
      <c r="A189" s="218" t="s">
        <v>284</v>
      </c>
      <c r="B189" s="225" t="s">
        <v>285</v>
      </c>
      <c r="C189" s="218">
        <v>210</v>
      </c>
      <c r="D189" s="220">
        <v>13</v>
      </c>
      <c r="E189" s="220">
        <v>18</v>
      </c>
      <c r="F189" s="220">
        <v>12.27</v>
      </c>
      <c r="G189" s="220">
        <v>263.08</v>
      </c>
    </row>
    <row r="190" spans="1:7">
      <c r="A190" s="221" t="s">
        <v>43</v>
      </c>
      <c r="B190" s="219" t="s">
        <v>286</v>
      </c>
      <c r="C190" s="218">
        <v>100</v>
      </c>
      <c r="D190" s="220">
        <v>8.99</v>
      </c>
      <c r="E190" s="220">
        <v>33.909999999999997</v>
      </c>
      <c r="F190" s="220">
        <v>3.29</v>
      </c>
      <c r="G190" s="220">
        <v>354.31</v>
      </c>
    </row>
    <row r="191" spans="1:7">
      <c r="A191" s="218" t="s">
        <v>33</v>
      </c>
      <c r="B191" s="219" t="s">
        <v>12</v>
      </c>
      <c r="C191" s="218">
        <v>150</v>
      </c>
      <c r="D191" s="220">
        <v>5.64</v>
      </c>
      <c r="E191" s="220">
        <v>2.84</v>
      </c>
      <c r="F191" s="220">
        <v>36</v>
      </c>
      <c r="G191" s="220">
        <v>201</v>
      </c>
    </row>
    <row r="192" spans="1:7">
      <c r="A192" s="221" t="s">
        <v>176</v>
      </c>
      <c r="B192" s="219" t="s">
        <v>10</v>
      </c>
      <c r="C192" s="222">
        <v>200</v>
      </c>
      <c r="D192" s="220">
        <v>0</v>
      </c>
      <c r="E192" s="220">
        <v>0</v>
      </c>
      <c r="F192" s="220">
        <v>10</v>
      </c>
      <c r="G192" s="220">
        <v>42</v>
      </c>
    </row>
    <row r="193" spans="1:7">
      <c r="A193" s="218"/>
      <c r="B193" s="219" t="s">
        <v>11</v>
      </c>
      <c r="C193" s="218">
        <v>20</v>
      </c>
      <c r="D193" s="220">
        <v>1.52</v>
      </c>
      <c r="E193" s="220">
        <v>0.16</v>
      </c>
      <c r="F193" s="220">
        <v>9.84</v>
      </c>
      <c r="G193" s="220">
        <v>49.17</v>
      </c>
    </row>
    <row r="194" spans="1:7">
      <c r="A194" s="257" t="s">
        <v>244</v>
      </c>
      <c r="B194" s="257"/>
      <c r="C194" s="216">
        <f>SUM(C188:C193)</f>
        <v>740</v>
      </c>
      <c r="D194" s="220"/>
      <c r="E194" s="220"/>
      <c r="F194" s="220"/>
      <c r="G194" s="220"/>
    </row>
    <row r="195" spans="1:7" ht="23.25" customHeight="1">
      <c r="A195" s="255" t="s">
        <v>257</v>
      </c>
      <c r="B195" s="255"/>
      <c r="C195" s="255"/>
      <c r="D195" s="215">
        <f>D196+D203</f>
        <v>44.58</v>
      </c>
      <c r="E195" s="215">
        <f>E196+E203</f>
        <v>61.43</v>
      </c>
      <c r="F195" s="215">
        <f>F196+F203</f>
        <v>138.93</v>
      </c>
      <c r="G195" s="215">
        <f>G196+G203</f>
        <v>1311.5700000000002</v>
      </c>
    </row>
    <row r="196" spans="1:7">
      <c r="A196" s="216"/>
      <c r="B196" s="255" t="s">
        <v>66</v>
      </c>
      <c r="C196" s="255"/>
      <c r="D196" s="215">
        <f>D197+D198+D199+D200+D201</f>
        <v>19.12</v>
      </c>
      <c r="E196" s="215">
        <f>E197+E198+E199+E200+E201</f>
        <v>26.980000000000004</v>
      </c>
      <c r="F196" s="215">
        <f>F197+F198+F199+F200+F201</f>
        <v>63.43</v>
      </c>
      <c r="G196" s="215">
        <f>G197+G198+G199+G200+G201</f>
        <v>585.66000000000008</v>
      </c>
    </row>
    <row r="197" spans="1:7">
      <c r="A197" s="221"/>
      <c r="B197" s="219" t="s">
        <v>41</v>
      </c>
      <c r="C197" s="218">
        <v>100</v>
      </c>
      <c r="D197" s="220">
        <v>0.4</v>
      </c>
      <c r="E197" s="220">
        <v>0</v>
      </c>
      <c r="F197" s="220">
        <v>9.8000000000000007</v>
      </c>
      <c r="G197" s="220">
        <v>42.84</v>
      </c>
    </row>
    <row r="198" spans="1:7">
      <c r="A198" s="218" t="s">
        <v>259</v>
      </c>
      <c r="B198" s="219" t="s">
        <v>258</v>
      </c>
      <c r="C198" s="218">
        <v>150</v>
      </c>
      <c r="D198" s="220">
        <v>14.58</v>
      </c>
      <c r="E198" s="220">
        <v>19.3</v>
      </c>
      <c r="F198" s="220">
        <v>2.81</v>
      </c>
      <c r="G198" s="220">
        <v>243.26</v>
      </c>
    </row>
    <row r="199" spans="1:7" ht="25.5">
      <c r="A199" s="218" t="s">
        <v>42</v>
      </c>
      <c r="B199" s="219" t="s">
        <v>217</v>
      </c>
      <c r="C199" s="218">
        <v>200</v>
      </c>
      <c r="D199" s="220">
        <v>1</v>
      </c>
      <c r="E199" s="220">
        <v>0.1</v>
      </c>
      <c r="F199" s="220">
        <v>31</v>
      </c>
      <c r="G199" s="220">
        <v>135</v>
      </c>
    </row>
    <row r="200" spans="1:7">
      <c r="A200" s="218" t="s">
        <v>173</v>
      </c>
      <c r="B200" s="219" t="s">
        <v>136</v>
      </c>
      <c r="C200" s="218">
        <v>10</v>
      </c>
      <c r="D200" s="220">
        <v>0.1</v>
      </c>
      <c r="E200" s="220">
        <v>7.26</v>
      </c>
      <c r="F200" s="220">
        <v>0.14000000000000001</v>
      </c>
      <c r="G200" s="220">
        <v>66.22</v>
      </c>
    </row>
    <row r="201" spans="1:7">
      <c r="A201" s="221"/>
      <c r="B201" s="219" t="s">
        <v>11</v>
      </c>
      <c r="C201" s="218">
        <v>40</v>
      </c>
      <c r="D201" s="220">
        <v>3.04</v>
      </c>
      <c r="E201" s="220">
        <v>0.32</v>
      </c>
      <c r="F201" s="220">
        <v>19.68</v>
      </c>
      <c r="G201" s="220">
        <v>98.34</v>
      </c>
    </row>
    <row r="202" spans="1:7">
      <c r="A202" s="253" t="s">
        <v>244</v>
      </c>
      <c r="B202" s="254"/>
      <c r="C202" s="216">
        <f>C197+C198+C199+C200+C201</f>
        <v>500</v>
      </c>
      <c r="D202" s="220"/>
      <c r="E202" s="220"/>
      <c r="F202" s="220"/>
      <c r="G202" s="220"/>
    </row>
    <row r="203" spans="1:7">
      <c r="A203" s="218"/>
      <c r="B203" s="258" t="s">
        <v>67</v>
      </c>
      <c r="C203" s="258"/>
      <c r="D203" s="215">
        <f>D204+D205+D206+D207+D208</f>
        <v>25.46</v>
      </c>
      <c r="E203" s="215">
        <f>E204+E205+E206+E207+E208</f>
        <v>34.449999999999996</v>
      </c>
      <c r="F203" s="215">
        <f>F204+F205+F206+F207+F208</f>
        <v>75.5</v>
      </c>
      <c r="G203" s="215">
        <f>G204+G205+G206+G207+G208</f>
        <v>725.91</v>
      </c>
    </row>
    <row r="204" spans="1:7">
      <c r="A204" s="218" t="s">
        <v>186</v>
      </c>
      <c r="B204" s="219" t="s">
        <v>137</v>
      </c>
      <c r="C204" s="227">
        <v>60</v>
      </c>
      <c r="D204" s="220">
        <v>0.94</v>
      </c>
      <c r="E204" s="220">
        <v>3.06</v>
      </c>
      <c r="F204" s="220">
        <v>5.66</v>
      </c>
      <c r="G204" s="220">
        <v>55.26</v>
      </c>
    </row>
    <row r="205" spans="1:7" ht="25.5">
      <c r="A205" s="218" t="s">
        <v>179</v>
      </c>
      <c r="B205" s="219" t="s">
        <v>141</v>
      </c>
      <c r="C205" s="218">
        <v>205</v>
      </c>
      <c r="D205" s="220">
        <v>2.57</v>
      </c>
      <c r="E205" s="220">
        <v>9.24</v>
      </c>
      <c r="F205" s="220">
        <v>18.04</v>
      </c>
      <c r="G205" s="220">
        <v>169.72</v>
      </c>
    </row>
    <row r="206" spans="1:7">
      <c r="A206" s="218" t="s">
        <v>283</v>
      </c>
      <c r="B206" s="225" t="s">
        <v>282</v>
      </c>
      <c r="C206" s="218">
        <v>200</v>
      </c>
      <c r="D206" s="220">
        <v>18.91</v>
      </c>
      <c r="E206" s="220">
        <v>21.83</v>
      </c>
      <c r="F206" s="220">
        <v>22.12</v>
      </c>
      <c r="G206" s="220">
        <v>360.59</v>
      </c>
    </row>
    <row r="207" spans="1:7">
      <c r="A207" s="221" t="s">
        <v>176</v>
      </c>
      <c r="B207" s="219" t="s">
        <v>10</v>
      </c>
      <c r="C207" s="218">
        <v>200</v>
      </c>
      <c r="D207" s="220">
        <v>0</v>
      </c>
      <c r="E207" s="220">
        <v>0</v>
      </c>
      <c r="F207" s="220">
        <v>10</v>
      </c>
      <c r="G207" s="220">
        <v>42</v>
      </c>
    </row>
    <row r="208" spans="1:7">
      <c r="A208" s="221"/>
      <c r="B208" s="219" t="s">
        <v>11</v>
      </c>
      <c r="C208" s="218">
        <v>40</v>
      </c>
      <c r="D208" s="220">
        <v>3.04</v>
      </c>
      <c r="E208" s="220">
        <v>0.32</v>
      </c>
      <c r="F208" s="220">
        <v>19.68</v>
      </c>
      <c r="G208" s="220">
        <v>98.34</v>
      </c>
    </row>
    <row r="209" spans="1:7">
      <c r="A209" s="257" t="s">
        <v>244</v>
      </c>
      <c r="B209" s="257"/>
      <c r="C209" s="216">
        <f>SUM(C204:C208)</f>
        <v>705</v>
      </c>
      <c r="D209" s="220"/>
      <c r="E209" s="220"/>
      <c r="F209" s="220"/>
      <c r="G209" s="220"/>
    </row>
    <row r="210" spans="1:7" ht="24.75" customHeight="1">
      <c r="A210" s="255" t="s">
        <v>267</v>
      </c>
      <c r="B210" s="255"/>
      <c r="C210" s="255"/>
      <c r="D210" s="215">
        <f>D211+D217</f>
        <v>40.519999999999996</v>
      </c>
      <c r="E210" s="215">
        <f>E211+E217</f>
        <v>35.729999999999997</v>
      </c>
      <c r="F210" s="215">
        <f>F211+F217</f>
        <v>166.36</v>
      </c>
      <c r="G210" s="215">
        <f>G211+G217</f>
        <v>1174.26</v>
      </c>
    </row>
    <row r="211" spans="1:7">
      <c r="A211" s="216"/>
      <c r="B211" s="255" t="s">
        <v>66</v>
      </c>
      <c r="C211" s="255"/>
      <c r="D211" s="215">
        <f>D212+D213+D214+D215</f>
        <v>19.84</v>
      </c>
      <c r="E211" s="215">
        <f>E212+E213+E214+E215</f>
        <v>16.079999999999998</v>
      </c>
      <c r="F211" s="215">
        <f>F212+F213+F214+F215</f>
        <v>89.4</v>
      </c>
      <c r="G211" s="215">
        <f>G212+G213+G214+G215</f>
        <v>596.24</v>
      </c>
    </row>
    <row r="212" spans="1:7">
      <c r="A212" s="221" t="s">
        <v>261</v>
      </c>
      <c r="B212" s="219" t="s">
        <v>260</v>
      </c>
      <c r="C212" s="218">
        <v>105</v>
      </c>
      <c r="D212" s="220">
        <v>10.25</v>
      </c>
      <c r="E212" s="220">
        <v>12.84</v>
      </c>
      <c r="F212" s="220">
        <v>3.3</v>
      </c>
      <c r="G212" s="220">
        <v>169.76</v>
      </c>
    </row>
    <row r="213" spans="1:7">
      <c r="A213" s="218" t="s">
        <v>33</v>
      </c>
      <c r="B213" s="219" t="s">
        <v>12</v>
      </c>
      <c r="C213" s="218">
        <v>150</v>
      </c>
      <c r="D213" s="220">
        <v>5.64</v>
      </c>
      <c r="E213" s="220">
        <v>2.84</v>
      </c>
      <c r="F213" s="220">
        <v>36</v>
      </c>
      <c r="G213" s="220">
        <v>201</v>
      </c>
    </row>
    <row r="214" spans="1:7">
      <c r="A214" s="221" t="s">
        <v>263</v>
      </c>
      <c r="B214" s="226" t="s">
        <v>262</v>
      </c>
      <c r="C214" s="218">
        <v>200</v>
      </c>
      <c r="D214" s="220">
        <v>0.15</v>
      </c>
      <c r="E214" s="220">
        <v>0</v>
      </c>
      <c r="F214" s="220">
        <v>25.5</v>
      </c>
      <c r="G214" s="220">
        <v>102.58</v>
      </c>
    </row>
    <row r="215" spans="1:7">
      <c r="A215" s="218"/>
      <c r="B215" s="219" t="s">
        <v>11</v>
      </c>
      <c r="C215" s="218">
        <v>50</v>
      </c>
      <c r="D215" s="220">
        <v>3.8</v>
      </c>
      <c r="E215" s="220">
        <v>0.4</v>
      </c>
      <c r="F215" s="220">
        <v>24.6</v>
      </c>
      <c r="G215" s="220">
        <v>122.9</v>
      </c>
    </row>
    <row r="216" spans="1:7">
      <c r="A216" s="253" t="s">
        <v>244</v>
      </c>
      <c r="B216" s="254"/>
      <c r="C216" s="216">
        <f>C215+C214+C213+C212</f>
        <v>505</v>
      </c>
      <c r="D216" s="220"/>
      <c r="E216" s="220"/>
      <c r="F216" s="220"/>
      <c r="G216" s="220"/>
    </row>
    <row r="217" spans="1:7">
      <c r="A217" s="218"/>
      <c r="B217" s="258" t="s">
        <v>67</v>
      </c>
      <c r="C217" s="258"/>
      <c r="D217" s="215">
        <f>D218+D219+D220+D221+D222+D223</f>
        <v>20.68</v>
      </c>
      <c r="E217" s="215">
        <f>E218+E219+E220+E221+E222+E223</f>
        <v>19.649999999999999</v>
      </c>
      <c r="F217" s="215">
        <f>F218+F219+F220+F221+F222+F223</f>
        <v>76.960000000000008</v>
      </c>
      <c r="G217" s="215">
        <f>G218+G219+G220+G221+G222+G223</f>
        <v>578.02</v>
      </c>
    </row>
    <row r="218" spans="1:7">
      <c r="A218" s="218" t="s">
        <v>142</v>
      </c>
      <c r="B218" s="219" t="s">
        <v>143</v>
      </c>
      <c r="C218" s="218">
        <v>60</v>
      </c>
      <c r="D218" s="220">
        <v>0.9</v>
      </c>
      <c r="E218" s="220">
        <v>0.06</v>
      </c>
      <c r="F218" s="220">
        <v>5.28</v>
      </c>
      <c r="G218" s="220">
        <v>27</v>
      </c>
    </row>
    <row r="219" spans="1:7">
      <c r="A219" s="218" t="s">
        <v>178</v>
      </c>
      <c r="B219" s="219" t="s">
        <v>138</v>
      </c>
      <c r="C219" s="218">
        <v>205</v>
      </c>
      <c r="D219" s="220">
        <v>3.09</v>
      </c>
      <c r="E219" s="220">
        <v>4.6100000000000003</v>
      </c>
      <c r="F219" s="220">
        <v>12.54</v>
      </c>
      <c r="G219" s="220">
        <v>107.36</v>
      </c>
    </row>
    <row r="220" spans="1:7">
      <c r="A220" s="218" t="s">
        <v>266</v>
      </c>
      <c r="B220" s="219" t="s">
        <v>265</v>
      </c>
      <c r="C220" s="218">
        <v>90</v>
      </c>
      <c r="D220" s="220">
        <v>10.18</v>
      </c>
      <c r="E220" s="220">
        <v>9.74</v>
      </c>
      <c r="F220" s="220">
        <v>10.17</v>
      </c>
      <c r="G220" s="220">
        <v>169.06</v>
      </c>
    </row>
    <row r="221" spans="1:7">
      <c r="A221" s="218" t="s">
        <v>288</v>
      </c>
      <c r="B221" s="219" t="s">
        <v>287</v>
      </c>
      <c r="C221" s="218">
        <v>150</v>
      </c>
      <c r="D221" s="220">
        <v>4.2300000000000004</v>
      </c>
      <c r="E221" s="220">
        <v>5</v>
      </c>
      <c r="F221" s="220">
        <v>24.21</v>
      </c>
      <c r="G221" s="220">
        <v>158.80000000000001</v>
      </c>
    </row>
    <row r="222" spans="1:7">
      <c r="A222" s="221" t="s">
        <v>176</v>
      </c>
      <c r="B222" s="219" t="s">
        <v>10</v>
      </c>
      <c r="C222" s="218">
        <v>200</v>
      </c>
      <c r="D222" s="220">
        <v>0</v>
      </c>
      <c r="E222" s="220">
        <v>0</v>
      </c>
      <c r="F222" s="220">
        <v>10</v>
      </c>
      <c r="G222" s="220">
        <v>42</v>
      </c>
    </row>
    <row r="223" spans="1:7">
      <c r="A223" s="221"/>
      <c r="B223" s="226" t="s">
        <v>11</v>
      </c>
      <c r="C223" s="221">
        <v>30</v>
      </c>
      <c r="D223" s="224">
        <v>2.2799999999999998</v>
      </c>
      <c r="E223" s="224">
        <v>0.24</v>
      </c>
      <c r="F223" s="224">
        <v>14.76</v>
      </c>
      <c r="G223" s="224">
        <v>73.8</v>
      </c>
    </row>
    <row r="224" spans="1:7">
      <c r="A224" s="257" t="s">
        <v>244</v>
      </c>
      <c r="B224" s="257"/>
      <c r="C224" s="216">
        <f>SUM(C218:C223)</f>
        <v>735</v>
      </c>
      <c r="D224" s="220"/>
      <c r="E224" s="220"/>
      <c r="F224" s="220"/>
      <c r="G224" s="220"/>
    </row>
    <row r="225" spans="1:7" ht="23.25" customHeight="1">
      <c r="A225" s="255" t="s">
        <v>268</v>
      </c>
      <c r="B225" s="255"/>
      <c r="C225" s="255"/>
      <c r="D225" s="215">
        <f>D226+D232</f>
        <v>38.76</v>
      </c>
      <c r="E225" s="215">
        <f>E226+E232</f>
        <v>59.120000000000005</v>
      </c>
      <c r="F225" s="215">
        <f>F226+F232</f>
        <v>145.9</v>
      </c>
      <c r="G225" s="215">
        <f>G226+G232</f>
        <v>1300.7760000000001</v>
      </c>
    </row>
    <row r="226" spans="1:7">
      <c r="A226" s="216"/>
      <c r="B226" s="255" t="s">
        <v>66</v>
      </c>
      <c r="C226" s="255"/>
      <c r="D226" s="215">
        <f>D227+D228+D229+D230</f>
        <v>15.45</v>
      </c>
      <c r="E226" s="215">
        <f>E227+E228+E229+E230</f>
        <v>23.09</v>
      </c>
      <c r="F226" s="215">
        <f>F227+F228+F229+F230</f>
        <v>62.269999999999996</v>
      </c>
      <c r="G226" s="215">
        <f>G227+G228+G229+G230</f>
        <v>534.32000000000005</v>
      </c>
    </row>
    <row r="227" spans="1:7">
      <c r="A227" s="221" t="s">
        <v>160</v>
      </c>
      <c r="B227" s="219" t="s">
        <v>161</v>
      </c>
      <c r="C227" s="227">
        <v>110</v>
      </c>
      <c r="D227" s="220">
        <v>9.15</v>
      </c>
      <c r="E227" s="220">
        <v>14.97</v>
      </c>
      <c r="F227" s="220">
        <v>10.6</v>
      </c>
      <c r="G227" s="220">
        <v>217.68</v>
      </c>
    </row>
    <row r="228" spans="1:7">
      <c r="A228" s="218" t="s">
        <v>34</v>
      </c>
      <c r="B228" s="219" t="s">
        <v>32</v>
      </c>
      <c r="C228" s="218">
        <v>150</v>
      </c>
      <c r="D228" s="220">
        <v>3.26</v>
      </c>
      <c r="E228" s="220">
        <v>7.8</v>
      </c>
      <c r="F228" s="220">
        <v>21.99</v>
      </c>
      <c r="G228" s="220">
        <v>176.3</v>
      </c>
    </row>
    <row r="229" spans="1:7">
      <c r="A229" s="222" t="s">
        <v>176</v>
      </c>
      <c r="B229" s="219" t="s">
        <v>10</v>
      </c>
      <c r="C229" s="222">
        <v>200</v>
      </c>
      <c r="D229" s="220">
        <v>0</v>
      </c>
      <c r="E229" s="220">
        <v>0</v>
      </c>
      <c r="F229" s="220">
        <v>10</v>
      </c>
      <c r="G229" s="220">
        <v>42</v>
      </c>
    </row>
    <row r="230" spans="1:7">
      <c r="A230" s="221"/>
      <c r="B230" s="219" t="s">
        <v>11</v>
      </c>
      <c r="C230" s="218">
        <v>40</v>
      </c>
      <c r="D230" s="220">
        <v>3.04</v>
      </c>
      <c r="E230" s="220">
        <v>0.32</v>
      </c>
      <c r="F230" s="220">
        <v>19.68</v>
      </c>
      <c r="G230" s="220">
        <v>98.34</v>
      </c>
    </row>
    <row r="231" spans="1:7">
      <c r="A231" s="253" t="s">
        <v>244</v>
      </c>
      <c r="B231" s="254"/>
      <c r="C231" s="216">
        <f>SUM(C227:C230)</f>
        <v>500</v>
      </c>
      <c r="D231" s="220"/>
      <c r="E231" s="220"/>
      <c r="F231" s="220"/>
      <c r="G231" s="220"/>
    </row>
    <row r="232" spans="1:7">
      <c r="A232" s="218"/>
      <c r="B232" s="258" t="s">
        <v>67</v>
      </c>
      <c r="C232" s="258"/>
      <c r="D232" s="215">
        <f>D233+D234+D235+D236+D237</f>
        <v>23.31</v>
      </c>
      <c r="E232" s="215">
        <f>E233+E234+E235+E236+E237</f>
        <v>36.03</v>
      </c>
      <c r="F232" s="215">
        <f>F233+F234+F235+F236+F237</f>
        <v>83.63000000000001</v>
      </c>
      <c r="G232" s="215">
        <f>G233+G234+G235+G236+G237</f>
        <v>766.45600000000002</v>
      </c>
    </row>
    <row r="233" spans="1:7">
      <c r="A233" s="218" t="s">
        <v>184</v>
      </c>
      <c r="B233" s="219" t="s">
        <v>151</v>
      </c>
      <c r="C233" s="218">
        <v>60</v>
      </c>
      <c r="D233" s="220">
        <v>0.88</v>
      </c>
      <c r="E233" s="220">
        <v>3.11</v>
      </c>
      <c r="F233" s="220">
        <v>5.64</v>
      </c>
      <c r="G233" s="220">
        <v>55.8</v>
      </c>
    </row>
    <row r="234" spans="1:7" ht="25.5">
      <c r="A234" s="218" t="s">
        <v>180</v>
      </c>
      <c r="B234" s="219" t="s">
        <v>148</v>
      </c>
      <c r="C234" s="218">
        <v>210</v>
      </c>
      <c r="D234" s="220">
        <v>6.51</v>
      </c>
      <c r="E234" s="220">
        <v>12.28</v>
      </c>
      <c r="F234" s="220">
        <v>11.17</v>
      </c>
      <c r="G234" s="220">
        <v>187.77600000000001</v>
      </c>
    </row>
    <row r="235" spans="1:7">
      <c r="A235" s="221" t="s">
        <v>290</v>
      </c>
      <c r="B235" s="219" t="s">
        <v>294</v>
      </c>
      <c r="C235" s="218">
        <v>200</v>
      </c>
      <c r="D235" s="220">
        <v>12.49</v>
      </c>
      <c r="E235" s="220">
        <v>20.399999999999999</v>
      </c>
      <c r="F235" s="220">
        <v>40.03</v>
      </c>
      <c r="G235" s="220">
        <v>393.68</v>
      </c>
    </row>
    <row r="236" spans="1:7">
      <c r="A236" s="218" t="s">
        <v>42</v>
      </c>
      <c r="B236" s="219" t="s">
        <v>216</v>
      </c>
      <c r="C236" s="218">
        <v>200</v>
      </c>
      <c r="D236" s="220">
        <v>1.1499999999999999</v>
      </c>
      <c r="E236" s="220"/>
      <c r="F236" s="220">
        <v>12.03</v>
      </c>
      <c r="G236" s="220">
        <v>55.4</v>
      </c>
    </row>
    <row r="237" spans="1:7">
      <c r="A237" s="221"/>
      <c r="B237" s="226" t="s">
        <v>11</v>
      </c>
      <c r="C237" s="221">
        <v>30</v>
      </c>
      <c r="D237" s="224">
        <v>2.2799999999999998</v>
      </c>
      <c r="E237" s="224">
        <v>0.24</v>
      </c>
      <c r="F237" s="224">
        <v>14.76</v>
      </c>
      <c r="G237" s="224">
        <v>73.8</v>
      </c>
    </row>
    <row r="238" spans="1:7">
      <c r="A238" s="257" t="s">
        <v>244</v>
      </c>
      <c r="B238" s="257"/>
      <c r="C238" s="216">
        <f>SUM(C233:C237)</f>
        <v>700</v>
      </c>
      <c r="D238" s="220"/>
      <c r="E238" s="220"/>
      <c r="F238" s="220"/>
      <c r="G238" s="220"/>
    </row>
    <row r="239" spans="1:7" ht="27.75" customHeight="1">
      <c r="A239" s="255" t="s">
        <v>269</v>
      </c>
      <c r="B239" s="255"/>
      <c r="C239" s="255"/>
      <c r="D239" s="215">
        <f>D240+D248</f>
        <v>34.19</v>
      </c>
      <c r="E239" s="215">
        <f>E240+E248</f>
        <v>40.92</v>
      </c>
      <c r="F239" s="215">
        <f>F240+F248</f>
        <v>195.51</v>
      </c>
      <c r="G239" s="215">
        <f>G240+G248</f>
        <v>1333.48</v>
      </c>
    </row>
    <row r="240" spans="1:7">
      <c r="A240" s="216"/>
      <c r="B240" s="255" t="s">
        <v>66</v>
      </c>
      <c r="C240" s="255"/>
      <c r="D240" s="215">
        <f>D241+D242+D243+D244+D245+D246</f>
        <v>13.25</v>
      </c>
      <c r="E240" s="215">
        <f>E241+E242+E243+E244+E245+E246</f>
        <v>11.26</v>
      </c>
      <c r="F240" s="215">
        <f>F241+F242+F243+F244+F245+F246</f>
        <v>80.42</v>
      </c>
      <c r="G240" s="215">
        <f>G241+G242+G243+G244+G245+G246</f>
        <v>495.49</v>
      </c>
    </row>
    <row r="241" spans="1:7">
      <c r="A241" s="238" t="s">
        <v>175</v>
      </c>
      <c r="B241" s="237" t="s">
        <v>35</v>
      </c>
      <c r="C241" s="238">
        <v>10</v>
      </c>
      <c r="D241" s="239">
        <v>2.6</v>
      </c>
      <c r="E241" s="239">
        <v>2.65</v>
      </c>
      <c r="F241" s="239">
        <v>0.35</v>
      </c>
      <c r="G241" s="239">
        <v>36.24</v>
      </c>
    </row>
    <row r="242" spans="1:7">
      <c r="A242" s="238" t="s">
        <v>173</v>
      </c>
      <c r="B242" s="237" t="s">
        <v>136</v>
      </c>
      <c r="C242" s="238">
        <v>5</v>
      </c>
      <c r="D242" s="239">
        <v>0.05</v>
      </c>
      <c r="E242" s="239">
        <v>3.63</v>
      </c>
      <c r="F242" s="239">
        <v>7.0000000000000007E-2</v>
      </c>
      <c r="G242" s="239">
        <v>33.11</v>
      </c>
    </row>
    <row r="243" spans="1:7">
      <c r="A243" s="221"/>
      <c r="B243" s="219" t="s">
        <v>41</v>
      </c>
      <c r="C243" s="218">
        <v>100</v>
      </c>
      <c r="D243" s="220">
        <v>0.4</v>
      </c>
      <c r="E243" s="220">
        <v>0</v>
      </c>
      <c r="F243" s="220">
        <v>9.8000000000000007</v>
      </c>
      <c r="G243" s="220">
        <v>42.84</v>
      </c>
    </row>
    <row r="244" spans="1:7" ht="25.5">
      <c r="A244" s="218" t="s">
        <v>174</v>
      </c>
      <c r="B244" s="219" t="s">
        <v>202</v>
      </c>
      <c r="C244" s="218">
        <v>203</v>
      </c>
      <c r="D244" s="220">
        <v>7.16</v>
      </c>
      <c r="E244" s="220">
        <v>4.66</v>
      </c>
      <c r="F244" s="220">
        <v>40.520000000000003</v>
      </c>
      <c r="G244" s="220">
        <v>242.96</v>
      </c>
    </row>
    <row r="245" spans="1:7">
      <c r="A245" s="244" t="s">
        <v>176</v>
      </c>
      <c r="B245" s="237" t="s">
        <v>10</v>
      </c>
      <c r="C245" s="244">
        <v>200</v>
      </c>
      <c r="D245" s="239">
        <v>0</v>
      </c>
      <c r="E245" s="239">
        <v>0</v>
      </c>
      <c r="F245" s="239">
        <v>10</v>
      </c>
      <c r="G245" s="239">
        <v>42</v>
      </c>
    </row>
    <row r="246" spans="1:7">
      <c r="A246" s="222"/>
      <c r="B246" s="219" t="s">
        <v>11</v>
      </c>
      <c r="C246" s="218">
        <v>40</v>
      </c>
      <c r="D246" s="220">
        <v>3.04</v>
      </c>
      <c r="E246" s="220">
        <v>0.32</v>
      </c>
      <c r="F246" s="220">
        <v>19.68</v>
      </c>
      <c r="G246" s="220">
        <v>98.34</v>
      </c>
    </row>
    <row r="247" spans="1:7">
      <c r="A247" s="253" t="s">
        <v>244</v>
      </c>
      <c r="B247" s="254"/>
      <c r="C247" s="223">
        <v>558</v>
      </c>
      <c r="D247" s="224"/>
      <c r="E247" s="224"/>
      <c r="F247" s="224"/>
      <c r="G247" s="224"/>
    </row>
    <row r="248" spans="1:7">
      <c r="A248" s="221"/>
      <c r="B248" s="258" t="s">
        <v>67</v>
      </c>
      <c r="C248" s="258"/>
      <c r="D248" s="229">
        <f>D249+D250+D251+D252+D253+D254</f>
        <v>20.939999999999998</v>
      </c>
      <c r="E248" s="229">
        <f>E249+E250+E251+E252+E253+E254</f>
        <v>29.660000000000004</v>
      </c>
      <c r="F248" s="229">
        <f>F249+F250+F251+F252+F253+F254</f>
        <v>115.09</v>
      </c>
      <c r="G248" s="229">
        <f>G249+G250+G251+G252+G253+G254</f>
        <v>837.9899999999999</v>
      </c>
    </row>
    <row r="249" spans="1:7">
      <c r="A249" s="218" t="s">
        <v>186</v>
      </c>
      <c r="B249" s="225" t="s">
        <v>137</v>
      </c>
      <c r="C249" s="232">
        <v>60</v>
      </c>
      <c r="D249" s="220">
        <v>0.94</v>
      </c>
      <c r="E249" s="220">
        <v>3.06</v>
      </c>
      <c r="F249" s="220">
        <v>5.66</v>
      </c>
      <c r="G249" s="220">
        <v>55.26</v>
      </c>
    </row>
    <row r="250" spans="1:7" ht="25.5">
      <c r="A250" s="218" t="s">
        <v>179</v>
      </c>
      <c r="B250" s="219" t="s">
        <v>141</v>
      </c>
      <c r="C250" s="218">
        <v>205</v>
      </c>
      <c r="D250" s="220">
        <v>2.57</v>
      </c>
      <c r="E250" s="220">
        <v>9.24</v>
      </c>
      <c r="F250" s="220">
        <v>18.04</v>
      </c>
      <c r="G250" s="220">
        <v>169.72</v>
      </c>
    </row>
    <row r="251" spans="1:7">
      <c r="A251" s="218" t="s">
        <v>221</v>
      </c>
      <c r="B251" s="219" t="s">
        <v>150</v>
      </c>
      <c r="C251" s="218">
        <v>105</v>
      </c>
      <c r="D251" s="220">
        <v>6.14</v>
      </c>
      <c r="E251" s="220">
        <v>11.91</v>
      </c>
      <c r="F251" s="220">
        <v>10.92</v>
      </c>
      <c r="G251" s="220">
        <v>178.84</v>
      </c>
    </row>
    <row r="252" spans="1:7">
      <c r="A252" s="221" t="s">
        <v>38</v>
      </c>
      <c r="B252" s="225" t="s">
        <v>36</v>
      </c>
      <c r="C252" s="218">
        <v>150</v>
      </c>
      <c r="D252" s="220">
        <v>8.77</v>
      </c>
      <c r="E252" s="220">
        <v>5.19</v>
      </c>
      <c r="F252" s="220">
        <v>39.630000000000003</v>
      </c>
      <c r="G252" s="220">
        <v>250</v>
      </c>
    </row>
    <row r="253" spans="1:7" ht="25.5">
      <c r="A253" s="218" t="s">
        <v>42</v>
      </c>
      <c r="B253" s="219" t="s">
        <v>217</v>
      </c>
      <c r="C253" s="218">
        <v>200</v>
      </c>
      <c r="D253" s="220">
        <v>1</v>
      </c>
      <c r="E253" s="220">
        <v>0.1</v>
      </c>
      <c r="F253" s="220">
        <v>31</v>
      </c>
      <c r="G253" s="220">
        <v>135</v>
      </c>
    </row>
    <row r="254" spans="1:7">
      <c r="A254" s="218"/>
      <c r="B254" s="219" t="s">
        <v>11</v>
      </c>
      <c r="C254" s="218">
        <v>20</v>
      </c>
      <c r="D254" s="220">
        <v>1.52</v>
      </c>
      <c r="E254" s="220">
        <v>0.16</v>
      </c>
      <c r="F254" s="220">
        <v>9.84</v>
      </c>
      <c r="G254" s="220">
        <v>49.17</v>
      </c>
    </row>
    <row r="255" spans="1:7">
      <c r="A255" s="257" t="s">
        <v>244</v>
      </c>
      <c r="B255" s="257"/>
      <c r="C255" s="216">
        <f>SUM(C249:C254)</f>
        <v>740</v>
      </c>
      <c r="D255" s="220"/>
      <c r="E255" s="220"/>
      <c r="F255" s="220"/>
      <c r="G255" s="220"/>
    </row>
    <row r="256" spans="1:7" ht="22.5" customHeight="1">
      <c r="A256" s="255" t="s">
        <v>270</v>
      </c>
      <c r="B256" s="255"/>
      <c r="C256" s="255"/>
      <c r="D256" s="215">
        <f>D257+D263</f>
        <v>42.949999999999996</v>
      </c>
      <c r="E256" s="215">
        <f>E257+E263</f>
        <v>40.340000000000003</v>
      </c>
      <c r="F256" s="215">
        <f>F257+F263</f>
        <v>162.26000000000002</v>
      </c>
      <c r="G256" s="215">
        <f>G257+G263</f>
        <v>1221.19</v>
      </c>
    </row>
    <row r="257" spans="1:7">
      <c r="A257" s="216"/>
      <c r="B257" s="255" t="s">
        <v>66</v>
      </c>
      <c r="C257" s="255"/>
      <c r="D257" s="215">
        <f>D258+D259+D260+D261</f>
        <v>19.169999999999998</v>
      </c>
      <c r="E257" s="215">
        <f>E258+E259+E260+E261</f>
        <v>19.16</v>
      </c>
      <c r="F257" s="215">
        <f>F258+F259+F260+F261</f>
        <v>82.710000000000008</v>
      </c>
      <c r="G257" s="215">
        <f>G258+G259+G260+G261</f>
        <v>596.1</v>
      </c>
    </row>
    <row r="258" spans="1:7">
      <c r="A258" s="221" t="s">
        <v>264</v>
      </c>
      <c r="B258" s="219" t="s">
        <v>291</v>
      </c>
      <c r="C258" s="218">
        <v>110</v>
      </c>
      <c r="D258" s="220">
        <v>9.34</v>
      </c>
      <c r="E258" s="220">
        <v>16</v>
      </c>
      <c r="F258" s="220">
        <v>15</v>
      </c>
      <c r="G258" s="220">
        <v>241.36</v>
      </c>
    </row>
    <row r="259" spans="1:7">
      <c r="A259" s="218" t="s">
        <v>33</v>
      </c>
      <c r="B259" s="219" t="s">
        <v>12</v>
      </c>
      <c r="C259" s="218">
        <v>150</v>
      </c>
      <c r="D259" s="220">
        <v>5.64</v>
      </c>
      <c r="E259" s="220">
        <v>2.84</v>
      </c>
      <c r="F259" s="220">
        <v>36</v>
      </c>
      <c r="G259" s="220">
        <v>201</v>
      </c>
    </row>
    <row r="260" spans="1:7">
      <c r="A260" s="218" t="s">
        <v>42</v>
      </c>
      <c r="B260" s="219" t="s">
        <v>216</v>
      </c>
      <c r="C260" s="218">
        <v>200</v>
      </c>
      <c r="D260" s="220">
        <v>1.1499999999999999</v>
      </c>
      <c r="E260" s="220"/>
      <c r="F260" s="220">
        <v>12.03</v>
      </c>
      <c r="G260" s="220">
        <v>55.4</v>
      </c>
    </row>
    <row r="261" spans="1:7">
      <c r="A261" s="218"/>
      <c r="B261" s="219" t="s">
        <v>11</v>
      </c>
      <c r="C261" s="218">
        <v>40</v>
      </c>
      <c r="D261" s="220">
        <v>3.04</v>
      </c>
      <c r="E261" s="220">
        <v>0.32</v>
      </c>
      <c r="F261" s="220">
        <v>19.68</v>
      </c>
      <c r="G261" s="220">
        <v>98.34</v>
      </c>
    </row>
    <row r="262" spans="1:7">
      <c r="A262" s="253" t="s">
        <v>244</v>
      </c>
      <c r="B262" s="254"/>
      <c r="C262" s="223">
        <f>C258+C259+C260+C261</f>
        <v>500</v>
      </c>
      <c r="D262" s="224"/>
      <c r="E262" s="224"/>
      <c r="F262" s="224"/>
      <c r="G262" s="224"/>
    </row>
    <row r="263" spans="1:7">
      <c r="A263" s="218"/>
      <c r="B263" s="258" t="s">
        <v>67</v>
      </c>
      <c r="C263" s="258"/>
      <c r="D263" s="229">
        <f>D264+D265+D266+D267+D268</f>
        <v>23.779999999999998</v>
      </c>
      <c r="E263" s="229">
        <f>E264+E265+E266+E267+E268</f>
        <v>21.18</v>
      </c>
      <c r="F263" s="229">
        <f>F264+F265+F266+F267+F268</f>
        <v>79.550000000000011</v>
      </c>
      <c r="G263" s="229">
        <f>G264+G265+G266+G267+G268</f>
        <v>625.09</v>
      </c>
    </row>
    <row r="264" spans="1:7">
      <c r="A264" s="218" t="s">
        <v>68</v>
      </c>
      <c r="B264" s="219" t="s">
        <v>69</v>
      </c>
      <c r="C264" s="218">
        <v>60</v>
      </c>
      <c r="D264" s="220">
        <v>0.84</v>
      </c>
      <c r="E264" s="220">
        <v>3.06</v>
      </c>
      <c r="F264" s="220">
        <v>6.83</v>
      </c>
      <c r="G264" s="220">
        <v>59.75</v>
      </c>
    </row>
    <row r="265" spans="1:7" ht="25.5">
      <c r="A265" s="221" t="s">
        <v>101</v>
      </c>
      <c r="B265" s="219" t="s">
        <v>170</v>
      </c>
      <c r="C265" s="218">
        <v>205</v>
      </c>
      <c r="D265" s="220">
        <v>5.81</v>
      </c>
      <c r="E265" s="220">
        <v>11.82</v>
      </c>
      <c r="F265" s="220">
        <v>15.48</v>
      </c>
      <c r="G265" s="220">
        <v>196</v>
      </c>
    </row>
    <row r="266" spans="1:7">
      <c r="A266" s="218" t="s">
        <v>222</v>
      </c>
      <c r="B266" s="219" t="s">
        <v>144</v>
      </c>
      <c r="C266" s="218">
        <v>200</v>
      </c>
      <c r="D266" s="220">
        <v>14.09</v>
      </c>
      <c r="E266" s="220">
        <v>5.98</v>
      </c>
      <c r="F266" s="220">
        <v>27.56</v>
      </c>
      <c r="G266" s="220">
        <v>229</v>
      </c>
    </row>
    <row r="267" spans="1:7">
      <c r="A267" s="222" t="s">
        <v>176</v>
      </c>
      <c r="B267" s="219" t="s">
        <v>10</v>
      </c>
      <c r="C267" s="222">
        <v>200</v>
      </c>
      <c r="D267" s="220">
        <v>0</v>
      </c>
      <c r="E267" s="220">
        <v>0</v>
      </c>
      <c r="F267" s="220">
        <v>10</v>
      </c>
      <c r="G267" s="220">
        <v>42</v>
      </c>
    </row>
    <row r="268" spans="1:7">
      <c r="A268" s="218"/>
      <c r="B268" s="219" t="s">
        <v>11</v>
      </c>
      <c r="C268" s="218">
        <v>40</v>
      </c>
      <c r="D268" s="220">
        <v>3.04</v>
      </c>
      <c r="E268" s="220">
        <v>0.32</v>
      </c>
      <c r="F268" s="220">
        <v>19.68</v>
      </c>
      <c r="G268" s="220">
        <v>98.34</v>
      </c>
    </row>
    <row r="269" spans="1:7">
      <c r="A269" s="257" t="s">
        <v>244</v>
      </c>
      <c r="B269" s="257"/>
      <c r="C269" s="228">
        <f>SUM(C264:C268)</f>
        <v>705</v>
      </c>
      <c r="D269" s="220"/>
      <c r="E269" s="220"/>
      <c r="F269" s="220"/>
      <c r="G269" s="220"/>
    </row>
    <row r="270" spans="1:7" ht="22.5" customHeight="1">
      <c r="A270" s="255" t="s">
        <v>271</v>
      </c>
      <c r="B270" s="255"/>
      <c r="C270" s="255"/>
      <c r="D270" s="215">
        <f>D271+D278</f>
        <v>40.549999999999997</v>
      </c>
      <c r="E270" s="215">
        <f>E271+E278</f>
        <v>46.84</v>
      </c>
      <c r="F270" s="215">
        <f>F271+F278</f>
        <v>185.94000000000003</v>
      </c>
      <c r="G270" s="215">
        <f>G271+G278</f>
        <v>1359.53</v>
      </c>
    </row>
    <row r="271" spans="1:7">
      <c r="A271" s="216"/>
      <c r="B271" s="255" t="s">
        <v>66</v>
      </c>
      <c r="C271" s="255"/>
      <c r="D271" s="215">
        <f>D272+D273+D274+D275+D276</f>
        <v>20.49</v>
      </c>
      <c r="E271" s="215">
        <f>E272+E273+E274+E275+E276</f>
        <v>22.5</v>
      </c>
      <c r="F271" s="215">
        <f>F272+F273+F274+F275+F276</f>
        <v>85.52000000000001</v>
      </c>
      <c r="G271" s="215">
        <f>G272+G273+G274+G275+G276</f>
        <v>644.4</v>
      </c>
    </row>
    <row r="272" spans="1:7">
      <c r="A272" s="218" t="s">
        <v>266</v>
      </c>
      <c r="B272" s="219" t="s">
        <v>265</v>
      </c>
      <c r="C272" s="218">
        <v>90</v>
      </c>
      <c r="D272" s="220">
        <v>10.18</v>
      </c>
      <c r="E272" s="220">
        <v>9.74</v>
      </c>
      <c r="F272" s="220">
        <v>10.17</v>
      </c>
      <c r="G272" s="220">
        <v>169.06</v>
      </c>
    </row>
    <row r="273" spans="1:7">
      <c r="A273" s="218" t="s">
        <v>132</v>
      </c>
      <c r="B273" s="219" t="s">
        <v>133</v>
      </c>
      <c r="C273" s="218">
        <v>150</v>
      </c>
      <c r="D273" s="220">
        <v>5.77</v>
      </c>
      <c r="E273" s="220">
        <v>10.08</v>
      </c>
      <c r="F273" s="220">
        <v>30.69</v>
      </c>
      <c r="G273" s="220">
        <v>244</v>
      </c>
    </row>
    <row r="274" spans="1:7">
      <c r="A274" s="221"/>
      <c r="B274" s="219" t="s">
        <v>62</v>
      </c>
      <c r="C274" s="218">
        <v>20</v>
      </c>
      <c r="D274" s="220">
        <v>1.5</v>
      </c>
      <c r="E274" s="220">
        <v>2.36</v>
      </c>
      <c r="F274" s="220">
        <v>14.98</v>
      </c>
      <c r="G274" s="220">
        <v>91</v>
      </c>
    </row>
    <row r="275" spans="1:7">
      <c r="A275" s="221" t="s">
        <v>176</v>
      </c>
      <c r="B275" s="219" t="s">
        <v>10</v>
      </c>
      <c r="C275" s="222">
        <v>200</v>
      </c>
      <c r="D275" s="220">
        <v>0</v>
      </c>
      <c r="E275" s="220">
        <v>0</v>
      </c>
      <c r="F275" s="220">
        <v>10</v>
      </c>
      <c r="G275" s="220">
        <v>42</v>
      </c>
    </row>
    <row r="276" spans="1:7">
      <c r="A276" s="221"/>
      <c r="B276" s="226" t="s">
        <v>11</v>
      </c>
      <c r="C276" s="221">
        <v>40</v>
      </c>
      <c r="D276" s="224">
        <v>3.04</v>
      </c>
      <c r="E276" s="224">
        <v>0.32</v>
      </c>
      <c r="F276" s="224">
        <v>19.68</v>
      </c>
      <c r="G276" s="224">
        <v>98.34</v>
      </c>
    </row>
    <row r="277" spans="1:7">
      <c r="A277" s="253" t="s">
        <v>244</v>
      </c>
      <c r="B277" s="254"/>
      <c r="C277" s="228">
        <f>SUM(C272:C276)</f>
        <v>500</v>
      </c>
      <c r="D277" s="220"/>
      <c r="E277" s="220"/>
      <c r="F277" s="220"/>
      <c r="G277" s="220"/>
    </row>
    <row r="278" spans="1:7">
      <c r="A278" s="222"/>
      <c r="B278" s="258" t="s">
        <v>67</v>
      </c>
      <c r="C278" s="258"/>
      <c r="D278" s="215">
        <f>D279+D280+D281+D282+D283</f>
        <v>20.059999999999999</v>
      </c>
      <c r="E278" s="215">
        <f>E279+E280+E281+E282+E283</f>
        <v>24.34</v>
      </c>
      <c r="F278" s="215">
        <f>F279+F280+F281+F282+F283</f>
        <v>100.42000000000002</v>
      </c>
      <c r="G278" s="215">
        <f>G279+G280+G281+G282+G283</f>
        <v>715.13</v>
      </c>
    </row>
    <row r="279" spans="1:7">
      <c r="A279" s="222" t="s">
        <v>187</v>
      </c>
      <c r="B279" s="219" t="s">
        <v>147</v>
      </c>
      <c r="C279" s="218">
        <v>60</v>
      </c>
      <c r="D279" s="220">
        <v>0.74</v>
      </c>
      <c r="E279" s="220">
        <v>0.06</v>
      </c>
      <c r="F279" s="220">
        <v>16.920000000000002</v>
      </c>
      <c r="G279" s="220">
        <v>74.709999999999994</v>
      </c>
    </row>
    <row r="280" spans="1:7" ht="25.5">
      <c r="A280" s="218" t="s">
        <v>117</v>
      </c>
      <c r="B280" s="219" t="s">
        <v>145</v>
      </c>
      <c r="C280" s="218">
        <v>210</v>
      </c>
      <c r="D280" s="220">
        <v>2.64</v>
      </c>
      <c r="E280" s="220">
        <v>3.56</v>
      </c>
      <c r="F280" s="220">
        <v>11.76</v>
      </c>
      <c r="G280" s="220">
        <v>93</v>
      </c>
    </row>
    <row r="281" spans="1:7">
      <c r="A281" s="221" t="s">
        <v>290</v>
      </c>
      <c r="B281" s="219" t="s">
        <v>294</v>
      </c>
      <c r="C281" s="218">
        <v>200</v>
      </c>
      <c r="D281" s="220">
        <v>12.49</v>
      </c>
      <c r="E281" s="220">
        <v>20.399999999999999</v>
      </c>
      <c r="F281" s="220">
        <v>40.03</v>
      </c>
      <c r="G281" s="220">
        <v>393.68</v>
      </c>
    </row>
    <row r="282" spans="1:7">
      <c r="A282" s="218" t="s">
        <v>42</v>
      </c>
      <c r="B282" s="219" t="s">
        <v>216</v>
      </c>
      <c r="C282" s="218">
        <v>200</v>
      </c>
      <c r="D282" s="220">
        <v>1.1499999999999999</v>
      </c>
      <c r="E282" s="220"/>
      <c r="F282" s="220">
        <v>12.03</v>
      </c>
      <c r="G282" s="220">
        <v>55.4</v>
      </c>
    </row>
    <row r="283" spans="1:7">
      <c r="A283" s="222"/>
      <c r="B283" s="219" t="s">
        <v>11</v>
      </c>
      <c r="C283" s="218">
        <v>40</v>
      </c>
      <c r="D283" s="220">
        <v>3.04</v>
      </c>
      <c r="E283" s="220">
        <v>0.32</v>
      </c>
      <c r="F283" s="220">
        <v>19.68</v>
      </c>
      <c r="G283" s="220">
        <v>98.34</v>
      </c>
    </row>
    <row r="284" spans="1:7">
      <c r="A284" s="257" t="s">
        <v>244</v>
      </c>
      <c r="B284" s="257"/>
      <c r="C284" s="216">
        <f>SUM(C279:C283)</f>
        <v>710</v>
      </c>
      <c r="D284" s="220"/>
      <c r="E284" s="220"/>
      <c r="F284" s="220"/>
      <c r="G284" s="220"/>
    </row>
    <row r="285" spans="1:7" ht="29.25" customHeight="1">
      <c r="A285" s="255" t="s">
        <v>274</v>
      </c>
      <c r="B285" s="255"/>
      <c r="C285" s="255"/>
      <c r="D285" s="215">
        <f>D286+D293</f>
        <v>39.299999999999997</v>
      </c>
      <c r="E285" s="215">
        <f>E286+E293</f>
        <v>42.02</v>
      </c>
      <c r="F285" s="215">
        <f>F286+F293</f>
        <v>153.76999999999998</v>
      </c>
      <c r="G285" s="215">
        <f>G286+G293</f>
        <v>1206.664</v>
      </c>
    </row>
    <row r="286" spans="1:7">
      <c r="A286" s="216"/>
      <c r="B286" s="255" t="s">
        <v>66</v>
      </c>
      <c r="C286" s="255"/>
      <c r="D286" s="215">
        <f>D287+D288+D289+D290+D291</f>
        <v>20.91</v>
      </c>
      <c r="E286" s="215">
        <f>E287+E288+E289+E290+E291</f>
        <v>11.200000000000001</v>
      </c>
      <c r="F286" s="215">
        <f>F287+F288+F289+F290+F291</f>
        <v>74.34</v>
      </c>
      <c r="G286" s="215">
        <f>G287+G288+G289+G290+G291</f>
        <v>497.32</v>
      </c>
    </row>
    <row r="287" spans="1:7">
      <c r="A287" s="218" t="s">
        <v>273</v>
      </c>
      <c r="B287" s="219" t="s">
        <v>272</v>
      </c>
      <c r="C287" s="218">
        <v>90</v>
      </c>
      <c r="D287" s="220">
        <v>14.55</v>
      </c>
      <c r="E287" s="220">
        <v>5.24</v>
      </c>
      <c r="F287" s="220">
        <v>8.2799999999999994</v>
      </c>
      <c r="G287" s="220">
        <v>138.54</v>
      </c>
    </row>
    <row r="288" spans="1:7">
      <c r="A288" s="218" t="s">
        <v>183</v>
      </c>
      <c r="B288" s="219" t="s">
        <v>157</v>
      </c>
      <c r="C288" s="218">
        <v>150</v>
      </c>
      <c r="D288" s="220">
        <v>3.81</v>
      </c>
      <c r="E288" s="220">
        <v>2.72</v>
      </c>
      <c r="F288" s="220">
        <v>40</v>
      </c>
      <c r="G288" s="220">
        <v>208.48</v>
      </c>
    </row>
    <row r="289" spans="1:7">
      <c r="A289" s="222" t="s">
        <v>185</v>
      </c>
      <c r="B289" s="219" t="s">
        <v>169</v>
      </c>
      <c r="C289" s="218">
        <v>30</v>
      </c>
      <c r="D289" s="220">
        <v>0.27</v>
      </c>
      <c r="E289" s="220">
        <v>3</v>
      </c>
      <c r="F289" s="220">
        <v>1.3</v>
      </c>
      <c r="G289" s="220">
        <v>34.5</v>
      </c>
    </row>
    <row r="290" spans="1:7">
      <c r="A290" s="221" t="s">
        <v>176</v>
      </c>
      <c r="B290" s="219" t="s">
        <v>10</v>
      </c>
      <c r="C290" s="222">
        <v>200</v>
      </c>
      <c r="D290" s="220">
        <v>0</v>
      </c>
      <c r="E290" s="220">
        <v>0</v>
      </c>
      <c r="F290" s="220">
        <v>10</v>
      </c>
      <c r="G290" s="220">
        <v>42</v>
      </c>
    </row>
    <row r="291" spans="1:7">
      <c r="A291" s="221"/>
      <c r="B291" s="226" t="s">
        <v>11</v>
      </c>
      <c r="C291" s="221">
        <v>30</v>
      </c>
      <c r="D291" s="224">
        <v>2.2799999999999998</v>
      </c>
      <c r="E291" s="224">
        <v>0.24</v>
      </c>
      <c r="F291" s="224">
        <v>14.76</v>
      </c>
      <c r="G291" s="224">
        <v>73.8</v>
      </c>
    </row>
    <row r="292" spans="1:7">
      <c r="A292" s="253" t="s">
        <v>244</v>
      </c>
      <c r="B292" s="254"/>
      <c r="C292" s="216">
        <f>SUM(C287:C291)</f>
        <v>500</v>
      </c>
      <c r="D292" s="220"/>
      <c r="E292" s="220"/>
      <c r="F292" s="220"/>
      <c r="G292" s="220"/>
    </row>
    <row r="293" spans="1:7">
      <c r="A293" s="218"/>
      <c r="B293" s="258" t="s">
        <v>67</v>
      </c>
      <c r="C293" s="258"/>
      <c r="D293" s="215">
        <f>D294+D295+D296+D297+D298+D299</f>
        <v>18.39</v>
      </c>
      <c r="E293" s="215">
        <f>E294+E295+E296+E297+E298+E299</f>
        <v>30.82</v>
      </c>
      <c r="F293" s="215">
        <f>F294+F295+F296+F297+F298+F299</f>
        <v>79.429999999999993</v>
      </c>
      <c r="G293" s="215">
        <f>G294+G295+G296+G297+G298+G299</f>
        <v>709.34400000000005</v>
      </c>
    </row>
    <row r="294" spans="1:7">
      <c r="A294" s="218" t="s">
        <v>184</v>
      </c>
      <c r="B294" s="219" t="s">
        <v>151</v>
      </c>
      <c r="C294" s="218">
        <v>60</v>
      </c>
      <c r="D294" s="220">
        <v>0.88</v>
      </c>
      <c r="E294" s="220">
        <v>3.11</v>
      </c>
      <c r="F294" s="220">
        <v>5.64</v>
      </c>
      <c r="G294" s="220">
        <v>55.8</v>
      </c>
    </row>
    <row r="295" spans="1:7" ht="25.5">
      <c r="A295" s="218" t="s">
        <v>124</v>
      </c>
      <c r="B295" s="219" t="s">
        <v>155</v>
      </c>
      <c r="C295" s="218">
        <v>205</v>
      </c>
      <c r="D295" s="220">
        <v>3.96</v>
      </c>
      <c r="E295" s="220">
        <v>4.8600000000000003</v>
      </c>
      <c r="F295" s="220">
        <v>17.010000000000002</v>
      </c>
      <c r="G295" s="220">
        <v>131.81399999999999</v>
      </c>
    </row>
    <row r="296" spans="1:7">
      <c r="A296" s="221" t="s">
        <v>160</v>
      </c>
      <c r="B296" s="219" t="s">
        <v>161</v>
      </c>
      <c r="C296" s="227">
        <v>110</v>
      </c>
      <c r="D296" s="220">
        <v>9.15</v>
      </c>
      <c r="E296" s="220">
        <v>14.97</v>
      </c>
      <c r="F296" s="220">
        <v>10.6</v>
      </c>
      <c r="G296" s="220">
        <v>217.68</v>
      </c>
    </row>
    <row r="297" spans="1:7">
      <c r="A297" s="218" t="s">
        <v>34</v>
      </c>
      <c r="B297" s="219" t="s">
        <v>32</v>
      </c>
      <c r="C297" s="227">
        <v>150</v>
      </c>
      <c r="D297" s="220">
        <v>3.26</v>
      </c>
      <c r="E297" s="220">
        <v>7.8</v>
      </c>
      <c r="F297" s="220">
        <v>21.99</v>
      </c>
      <c r="G297" s="220">
        <v>176.3</v>
      </c>
    </row>
    <row r="298" spans="1:7">
      <c r="A298" s="218" t="s">
        <v>188</v>
      </c>
      <c r="B298" s="219" t="s">
        <v>90</v>
      </c>
      <c r="C298" s="227">
        <v>200</v>
      </c>
      <c r="D298" s="220">
        <v>0.14000000000000001</v>
      </c>
      <c r="E298" s="220"/>
      <c r="F298" s="220">
        <v>16.190000000000001</v>
      </c>
      <c r="G298" s="220">
        <v>89.23</v>
      </c>
    </row>
    <row r="299" spans="1:7">
      <c r="A299" s="222"/>
      <c r="B299" s="219" t="s">
        <v>37</v>
      </c>
      <c r="C299" s="218">
        <v>20</v>
      </c>
      <c r="D299" s="220">
        <v>1</v>
      </c>
      <c r="E299" s="220">
        <v>0.08</v>
      </c>
      <c r="F299" s="220">
        <v>8</v>
      </c>
      <c r="G299" s="220">
        <v>38.520000000000003</v>
      </c>
    </row>
    <row r="300" spans="1:7">
      <c r="A300" s="257" t="s">
        <v>244</v>
      </c>
      <c r="B300" s="257"/>
      <c r="C300" s="216">
        <f>SUM(C294:C299)</f>
        <v>745</v>
      </c>
      <c r="D300" s="220"/>
      <c r="E300" s="220"/>
      <c r="F300" s="220"/>
      <c r="G300" s="220"/>
    </row>
    <row r="301" spans="1:7" ht="22.5" customHeight="1">
      <c r="A301" s="255" t="s">
        <v>275</v>
      </c>
      <c r="B301" s="255"/>
      <c r="C301" s="255"/>
      <c r="D301" s="215">
        <f>D302+D308</f>
        <v>47.28</v>
      </c>
      <c r="E301" s="215">
        <f>E302+E308</f>
        <v>50.570000000000007</v>
      </c>
      <c r="F301" s="215">
        <f>F302+F308</f>
        <v>147.4</v>
      </c>
      <c r="G301" s="215">
        <f>G302+G308</f>
        <v>1255.3779999999999</v>
      </c>
    </row>
    <row r="302" spans="1:7">
      <c r="A302" s="216"/>
      <c r="B302" s="255" t="s">
        <v>66</v>
      </c>
      <c r="C302" s="255"/>
      <c r="D302" s="215">
        <f>D303+D304+D305+D306</f>
        <v>28.39</v>
      </c>
      <c r="E302" s="215">
        <f>E303+E304+E305+E306</f>
        <v>9.39</v>
      </c>
      <c r="F302" s="215">
        <f>F303+F304+F305+F306</f>
        <v>80.09</v>
      </c>
      <c r="G302" s="215">
        <f>G303+G304+G305+G306</f>
        <v>527.21</v>
      </c>
    </row>
    <row r="303" spans="1:7">
      <c r="A303" s="221"/>
      <c r="B303" s="219" t="s">
        <v>41</v>
      </c>
      <c r="C303" s="218">
        <v>110</v>
      </c>
      <c r="D303" s="220">
        <v>0.44</v>
      </c>
      <c r="E303" s="220">
        <v>0</v>
      </c>
      <c r="F303" s="220">
        <v>10.78</v>
      </c>
      <c r="G303" s="220">
        <v>47.12</v>
      </c>
    </row>
    <row r="304" spans="1:7">
      <c r="A304" s="218" t="s">
        <v>277</v>
      </c>
      <c r="B304" s="219" t="s">
        <v>276</v>
      </c>
      <c r="C304" s="218">
        <v>150</v>
      </c>
      <c r="D304" s="220">
        <v>24.91</v>
      </c>
      <c r="E304" s="220">
        <v>9.07</v>
      </c>
      <c r="F304" s="220">
        <v>39.630000000000003</v>
      </c>
      <c r="G304" s="220">
        <v>339.75</v>
      </c>
    </row>
    <row r="305" spans="1:7">
      <c r="A305" s="221" t="s">
        <v>176</v>
      </c>
      <c r="B305" s="219" t="s">
        <v>10</v>
      </c>
      <c r="C305" s="222">
        <v>200</v>
      </c>
      <c r="D305" s="220">
        <v>0</v>
      </c>
      <c r="E305" s="220">
        <v>0</v>
      </c>
      <c r="F305" s="220">
        <v>10</v>
      </c>
      <c r="G305" s="220">
        <v>42</v>
      </c>
    </row>
    <row r="306" spans="1:7">
      <c r="A306" s="221"/>
      <c r="B306" s="226" t="s">
        <v>11</v>
      </c>
      <c r="C306" s="221">
        <v>40</v>
      </c>
      <c r="D306" s="224">
        <v>3.04</v>
      </c>
      <c r="E306" s="224">
        <v>0.32</v>
      </c>
      <c r="F306" s="224">
        <v>19.68</v>
      </c>
      <c r="G306" s="224">
        <v>98.34</v>
      </c>
    </row>
    <row r="307" spans="1:7">
      <c r="A307" s="253" t="s">
        <v>244</v>
      </c>
      <c r="B307" s="254"/>
      <c r="C307" s="228">
        <f>SUM(C303:C306)</f>
        <v>500</v>
      </c>
      <c r="D307" s="218"/>
      <c r="E307" s="218"/>
      <c r="F307" s="218"/>
      <c r="G307" s="218"/>
    </row>
    <row r="308" spans="1:7">
      <c r="A308" s="218"/>
      <c r="B308" s="258" t="s">
        <v>67</v>
      </c>
      <c r="C308" s="258"/>
      <c r="D308" s="215">
        <f>D309+D310+D311+D312+D313</f>
        <v>18.890000000000004</v>
      </c>
      <c r="E308" s="215">
        <f>E309+E310+E311+E312+E313</f>
        <v>41.180000000000007</v>
      </c>
      <c r="F308" s="215">
        <f>F309+F310+F311+F312+F313</f>
        <v>67.31</v>
      </c>
      <c r="G308" s="215">
        <f>G309+G310+G311+G312+G313</f>
        <v>728.16799999999989</v>
      </c>
    </row>
    <row r="309" spans="1:7">
      <c r="A309" s="218" t="s">
        <v>281</v>
      </c>
      <c r="B309" s="219" t="s">
        <v>280</v>
      </c>
      <c r="C309" s="218">
        <v>60</v>
      </c>
      <c r="D309" s="231">
        <v>0.48</v>
      </c>
      <c r="E309" s="220">
        <v>0</v>
      </c>
      <c r="F309" s="220">
        <v>1.02</v>
      </c>
      <c r="G309" s="220">
        <v>6</v>
      </c>
    </row>
    <row r="310" spans="1:7">
      <c r="A310" s="221" t="s">
        <v>181</v>
      </c>
      <c r="B310" s="219" t="s">
        <v>159</v>
      </c>
      <c r="C310" s="227">
        <v>210</v>
      </c>
      <c r="D310" s="220">
        <v>4.6500000000000004</v>
      </c>
      <c r="E310" s="220">
        <v>6.92</v>
      </c>
      <c r="F310" s="220">
        <v>12.49</v>
      </c>
      <c r="G310" s="220">
        <v>134.268</v>
      </c>
    </row>
    <row r="311" spans="1:7">
      <c r="A311" s="218" t="s">
        <v>226</v>
      </c>
      <c r="B311" s="219" t="s">
        <v>293</v>
      </c>
      <c r="C311" s="218">
        <v>200</v>
      </c>
      <c r="D311" s="220">
        <v>11.46</v>
      </c>
      <c r="E311" s="220">
        <v>34.020000000000003</v>
      </c>
      <c r="F311" s="220">
        <v>9.73</v>
      </c>
      <c r="G311" s="220">
        <v>390.94</v>
      </c>
    </row>
    <row r="312" spans="1:7" ht="25.5">
      <c r="A312" s="221" t="s">
        <v>40</v>
      </c>
      <c r="B312" s="219" t="s">
        <v>218</v>
      </c>
      <c r="C312" s="218">
        <v>200</v>
      </c>
      <c r="D312" s="220">
        <v>0.02</v>
      </c>
      <c r="E312" s="220"/>
      <c r="F312" s="220">
        <v>29.31</v>
      </c>
      <c r="G312" s="220">
        <v>123.16</v>
      </c>
    </row>
    <row r="313" spans="1:7">
      <c r="A313" s="221"/>
      <c r="B313" s="226" t="s">
        <v>11</v>
      </c>
      <c r="C313" s="221">
        <v>30</v>
      </c>
      <c r="D313" s="224">
        <v>2.2799999999999998</v>
      </c>
      <c r="E313" s="224">
        <v>0.24</v>
      </c>
      <c r="F313" s="224">
        <v>14.76</v>
      </c>
      <c r="G313" s="224">
        <v>73.8</v>
      </c>
    </row>
    <row r="314" spans="1:7">
      <c r="A314" s="257" t="s">
        <v>244</v>
      </c>
      <c r="B314" s="257"/>
      <c r="C314" s="216">
        <f>SUM(C309:C313)</f>
        <v>700</v>
      </c>
      <c r="D314" s="220"/>
      <c r="E314" s="220"/>
      <c r="F314" s="220"/>
      <c r="G314" s="220"/>
    </row>
  </sheetData>
  <mergeCells count="106">
    <mergeCell ref="A285:C285"/>
    <mergeCell ref="B302:C302"/>
    <mergeCell ref="B308:C308"/>
    <mergeCell ref="A314:B314"/>
    <mergeCell ref="A170:B170"/>
    <mergeCell ref="B286:C286"/>
    <mergeCell ref="A292:B292"/>
    <mergeCell ref="B293:C293"/>
    <mergeCell ref="A300:B300"/>
    <mergeCell ref="A301:C301"/>
    <mergeCell ref="A269:B269"/>
    <mergeCell ref="A270:C270"/>
    <mergeCell ref="A262:B262"/>
    <mergeCell ref="A277:B277"/>
    <mergeCell ref="B278:C278"/>
    <mergeCell ref="A284:B284"/>
    <mergeCell ref="B271:C271"/>
    <mergeCell ref="B240:C240"/>
    <mergeCell ref="A247:B247"/>
    <mergeCell ref="B248:C248"/>
    <mergeCell ref="A255:B255"/>
    <mergeCell ref="B257:C257"/>
    <mergeCell ref="B263:C263"/>
    <mergeCell ref="B211:C211"/>
    <mergeCell ref="A216:B216"/>
    <mergeCell ref="B217:C217"/>
    <mergeCell ref="A224:B224"/>
    <mergeCell ref="A256:C256"/>
    <mergeCell ref="B226:C226"/>
    <mergeCell ref="A231:B231"/>
    <mergeCell ref="B232:C232"/>
    <mergeCell ref="A238:B238"/>
    <mergeCell ref="A239:C239"/>
    <mergeCell ref="B180:C180"/>
    <mergeCell ref="A186:B186"/>
    <mergeCell ref="B187:C187"/>
    <mergeCell ref="A194:B194"/>
    <mergeCell ref="A225:C225"/>
    <mergeCell ref="B196:C196"/>
    <mergeCell ref="A202:B202"/>
    <mergeCell ref="B203:C203"/>
    <mergeCell ref="A209:B209"/>
    <mergeCell ref="A210:C210"/>
    <mergeCell ref="A195:C195"/>
    <mergeCell ref="B33:C33"/>
    <mergeCell ref="B42:C42"/>
    <mergeCell ref="B116:C116"/>
    <mergeCell ref="B122:C122"/>
    <mergeCell ref="B131:C131"/>
    <mergeCell ref="B138:C138"/>
    <mergeCell ref="B48:C48"/>
    <mergeCell ref="B154:C154"/>
    <mergeCell ref="B57:C57"/>
    <mergeCell ref="A130:C130"/>
    <mergeCell ref="A146:C146"/>
    <mergeCell ref="A121:B121"/>
    <mergeCell ref="A129:B129"/>
    <mergeCell ref="A137:B137"/>
    <mergeCell ref="A145:B145"/>
    <mergeCell ref="B171:C171"/>
    <mergeCell ref="A178:B178"/>
    <mergeCell ref="A179:C179"/>
    <mergeCell ref="A1:G2"/>
    <mergeCell ref="A3:G4"/>
    <mergeCell ref="A5:A6"/>
    <mergeCell ref="B5:B6"/>
    <mergeCell ref="C5:C6"/>
    <mergeCell ref="G5:G6"/>
    <mergeCell ref="D5:F5"/>
    <mergeCell ref="B63:C63"/>
    <mergeCell ref="B71:C71"/>
    <mergeCell ref="A8:C8"/>
    <mergeCell ref="A26:C26"/>
    <mergeCell ref="B9:C9"/>
    <mergeCell ref="B19:C19"/>
    <mergeCell ref="B27:C27"/>
    <mergeCell ref="A56:C56"/>
    <mergeCell ref="A70:C70"/>
    <mergeCell ref="A99:C99"/>
    <mergeCell ref="B92:C92"/>
    <mergeCell ref="A162:C162"/>
    <mergeCell ref="B147:C147"/>
    <mergeCell ref="A98:B98"/>
    <mergeCell ref="A106:B106"/>
    <mergeCell ref="A114:B114"/>
    <mergeCell ref="A153:B153"/>
    <mergeCell ref="B107:C107"/>
    <mergeCell ref="A91:B91"/>
    <mergeCell ref="A307:B307"/>
    <mergeCell ref="A161:B161"/>
    <mergeCell ref="A18:B18"/>
    <mergeCell ref="A25:B25"/>
    <mergeCell ref="A32:B32"/>
    <mergeCell ref="A40:B40"/>
    <mergeCell ref="A47:B47"/>
    <mergeCell ref="A41:C41"/>
    <mergeCell ref="B77:C77"/>
    <mergeCell ref="B86:C86"/>
    <mergeCell ref="A85:C85"/>
    <mergeCell ref="A115:C115"/>
    <mergeCell ref="A55:B55"/>
    <mergeCell ref="A62:B62"/>
    <mergeCell ref="A69:B69"/>
    <mergeCell ref="A76:B76"/>
    <mergeCell ref="A84:B84"/>
    <mergeCell ref="B100:C100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Z310"/>
  <sheetViews>
    <sheetView topLeftCell="A222" zoomScale="112" zoomScaleNormal="112" workbookViewId="0">
      <selection activeCell="D237" sqref="D237:G237"/>
    </sheetView>
  </sheetViews>
  <sheetFormatPr defaultRowHeight="12.75"/>
  <cols>
    <col min="1" max="1" width="11" style="195" customWidth="1"/>
    <col min="2" max="2" width="36.140625" style="209" customWidth="1"/>
    <col min="3" max="3" width="11.285156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16384" width="9.140625" style="184"/>
  </cols>
  <sheetData>
    <row r="1" spans="1:7" ht="12.75" customHeight="1">
      <c r="A1" s="251" t="s">
        <v>250</v>
      </c>
      <c r="B1" s="251"/>
      <c r="C1" s="251"/>
      <c r="D1" s="251"/>
      <c r="E1" s="251"/>
      <c r="F1" s="251"/>
      <c r="G1" s="251"/>
    </row>
    <row r="2" spans="1:7">
      <c r="A2" s="251"/>
      <c r="B2" s="251"/>
      <c r="C2" s="251"/>
      <c r="D2" s="251"/>
      <c r="E2" s="251"/>
      <c r="F2" s="251"/>
      <c r="G2" s="251"/>
    </row>
    <row r="3" spans="1:7" ht="25.5" customHeight="1">
      <c r="A3" s="249" t="s">
        <v>251</v>
      </c>
      <c r="B3" s="249"/>
      <c r="C3" s="249"/>
      <c r="D3" s="249"/>
      <c r="E3" s="249"/>
      <c r="F3" s="249"/>
      <c r="G3" s="249"/>
    </row>
    <row r="4" spans="1:7">
      <c r="A4" s="250"/>
      <c r="B4" s="250"/>
      <c r="C4" s="250"/>
      <c r="D4" s="250"/>
      <c r="E4" s="250"/>
      <c r="F4" s="250"/>
      <c r="G4" s="250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34.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9" t="s">
        <v>235</v>
      </c>
      <c r="B8" s="260"/>
      <c r="C8" s="261"/>
      <c r="D8" s="215">
        <f>D9+D19</f>
        <v>40.755400000000002</v>
      </c>
      <c r="E8" s="215">
        <f>E9+E19</f>
        <v>55.304600000000001</v>
      </c>
      <c r="F8" s="215">
        <f>F9+F19</f>
        <v>219.26609999999999</v>
      </c>
      <c r="G8" s="215">
        <f>G9+G19</f>
        <v>1561.1849999999999</v>
      </c>
    </row>
    <row r="9" spans="1:7">
      <c r="A9" s="216"/>
      <c r="B9" s="217" t="s">
        <v>66</v>
      </c>
      <c r="C9" s="216"/>
      <c r="D9" s="215">
        <f>D10+D11+D12+D13+D14+D15</f>
        <v>18.0425</v>
      </c>
      <c r="E9" s="215">
        <f>E10+E11+E12+E13+E14+E15</f>
        <v>21.902500000000003</v>
      </c>
      <c r="F9" s="215">
        <f>F10+F11+F12+F13+F14+F15</f>
        <v>98.067499999999995</v>
      </c>
      <c r="G9" s="215">
        <f>G10+G11+G12+G13+G14+G15</f>
        <v>666.62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21" t="s">
        <v>176</v>
      </c>
      <c r="B14" s="219" t="s">
        <v>10</v>
      </c>
      <c r="C14" s="218">
        <v>200</v>
      </c>
      <c r="D14" s="220">
        <v>0</v>
      </c>
      <c r="E14" s="220">
        <v>0</v>
      </c>
      <c r="F14" s="220">
        <v>10</v>
      </c>
      <c r="G14" s="220">
        <v>42</v>
      </c>
    </row>
    <row r="15" spans="1:7">
      <c r="A15" s="218"/>
      <c r="B15" s="219" t="s">
        <v>11</v>
      </c>
      <c r="C15" s="218">
        <v>40</v>
      </c>
      <c r="D15" s="220">
        <v>3.04</v>
      </c>
      <c r="E15" s="220">
        <v>0.32</v>
      </c>
      <c r="F15" s="220">
        <v>19.68</v>
      </c>
      <c r="G15" s="220">
        <v>98.34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3" t="s">
        <v>244</v>
      </c>
      <c r="B18" s="254"/>
      <c r="C18" s="223">
        <f>SUM(C10:C17)</f>
        <v>590</v>
      </c>
      <c r="D18" s="224"/>
      <c r="E18" s="224"/>
      <c r="F18" s="224"/>
      <c r="G18" s="224"/>
    </row>
    <row r="19" spans="1:7">
      <c r="A19" s="221"/>
      <c r="B19" s="240" t="s">
        <v>67</v>
      </c>
      <c r="C19" s="223"/>
      <c r="D19" s="229">
        <f>D20+D21+D22+D23+D24</f>
        <v>22.712900000000001</v>
      </c>
      <c r="E19" s="229">
        <f>E20+E21+E22+E23+E24</f>
        <v>33.402099999999997</v>
      </c>
      <c r="F19" s="229">
        <f>F20+F21+F22+F23+F24</f>
        <v>121.1986</v>
      </c>
      <c r="G19" s="229">
        <f>G20+G21+G22+G23+G24</f>
        <v>894.56500000000005</v>
      </c>
    </row>
    <row r="20" spans="1:7">
      <c r="A20" s="218" t="s">
        <v>186</v>
      </c>
      <c r="B20" s="219" t="s">
        <v>137</v>
      </c>
      <c r="C20" s="218">
        <v>100</v>
      </c>
      <c r="D20" s="220">
        <f>0.94*1.66</f>
        <v>1.5603999999999998</v>
      </c>
      <c r="E20" s="220">
        <f>4.06*1.66</f>
        <v>6.7395999999999994</v>
      </c>
      <c r="F20" s="220">
        <f>5.96*1.66</f>
        <v>9.8935999999999993</v>
      </c>
      <c r="G20" s="220">
        <v>108.76</v>
      </c>
    </row>
    <row r="21" spans="1:7" ht="15" customHeight="1">
      <c r="A21" s="218" t="s">
        <v>178</v>
      </c>
      <c r="B21" s="219" t="s">
        <v>138</v>
      </c>
      <c r="C21" s="218">
        <v>255</v>
      </c>
      <c r="D21" s="220">
        <f>3.09*1.25</f>
        <v>3.8624999999999998</v>
      </c>
      <c r="E21" s="220">
        <f>4.61*1.25</f>
        <v>5.7625000000000002</v>
      </c>
      <c r="F21" s="220">
        <f>12.54*1.25</f>
        <v>15.674999999999999</v>
      </c>
      <c r="G21" s="220">
        <f>107.36*1.25</f>
        <v>134.19999999999999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50</v>
      </c>
      <c r="D24" s="220">
        <f>3.04*1.25</f>
        <v>3.8</v>
      </c>
      <c r="E24" s="220">
        <f>0.32*1.25</f>
        <v>0.4</v>
      </c>
      <c r="F24" s="220">
        <f>19.68*1.25</f>
        <v>24.6</v>
      </c>
      <c r="G24" s="220">
        <f>98.34*1.25</f>
        <v>122.92500000000001</v>
      </c>
    </row>
    <row r="25" spans="1:7">
      <c r="A25" s="253" t="s">
        <v>244</v>
      </c>
      <c r="B25" s="254"/>
      <c r="C25" s="223">
        <f>SUM(C20:C24)</f>
        <v>805</v>
      </c>
      <c r="D25" s="224"/>
      <c r="E25" s="224"/>
      <c r="F25" s="224"/>
      <c r="G25" s="224"/>
    </row>
    <row r="26" spans="1:7" ht="27.95" customHeight="1">
      <c r="A26" s="259" t="s">
        <v>236</v>
      </c>
      <c r="B26" s="260"/>
      <c r="C26" s="261"/>
      <c r="D26" s="215">
        <f>D27+D33</f>
        <v>40.342439999999996</v>
      </c>
      <c r="E26" s="215">
        <f>E27+E33</f>
        <v>67.213459999999998</v>
      </c>
      <c r="F26" s="215">
        <f>F27+F33</f>
        <v>218.74628000000001</v>
      </c>
      <c r="G26" s="215">
        <f>G27+G33</f>
        <v>1693.0235000000002</v>
      </c>
    </row>
    <row r="27" spans="1:7">
      <c r="A27" s="216"/>
      <c r="B27" s="217" t="s">
        <v>66</v>
      </c>
      <c r="C27" s="216"/>
      <c r="D27" s="215">
        <f>D28+D29+D30+D31</f>
        <v>17.302499999999998</v>
      </c>
      <c r="E27" s="215">
        <f>E28+E29+E30+E31</f>
        <v>13.0875</v>
      </c>
      <c r="F27" s="215">
        <f>F28+F29+F30+F31</f>
        <v>116.45750000000001</v>
      </c>
      <c r="G27" s="215">
        <f>G28+G29+G30+G31</f>
        <v>681.25000000000011</v>
      </c>
    </row>
    <row r="28" spans="1:7" ht="25.5">
      <c r="A28" s="218" t="s">
        <v>174</v>
      </c>
      <c r="B28" s="219" t="s">
        <v>199</v>
      </c>
      <c r="C28" s="218">
        <v>253</v>
      </c>
      <c r="D28" s="220">
        <f>7.81*1.25</f>
        <v>9.7624999999999993</v>
      </c>
      <c r="E28" s="220">
        <f>4.55*1.25</f>
        <v>5.6875</v>
      </c>
      <c r="F28" s="220">
        <f>33.47*1.25</f>
        <v>41.837499999999999</v>
      </c>
      <c r="G28" s="220">
        <v>267.91000000000003</v>
      </c>
    </row>
    <row r="29" spans="1:7">
      <c r="A29" s="221"/>
      <c r="B29" s="219" t="s">
        <v>62</v>
      </c>
      <c r="C29" s="218">
        <v>60</v>
      </c>
      <c r="D29" s="220">
        <f>1.5*3</f>
        <v>4.5</v>
      </c>
      <c r="E29" s="220">
        <f>2.36*3</f>
        <v>7.08</v>
      </c>
      <c r="F29" s="220">
        <f>14.98*3</f>
        <v>44.94</v>
      </c>
      <c r="G29" s="220">
        <f>91*3</f>
        <v>273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40</v>
      </c>
      <c r="D31" s="220">
        <v>3.04</v>
      </c>
      <c r="E31" s="220">
        <v>0.32</v>
      </c>
      <c r="F31" s="220">
        <v>19.68</v>
      </c>
      <c r="G31" s="220">
        <v>98.34</v>
      </c>
    </row>
    <row r="32" spans="1:7">
      <c r="A32" s="253" t="s">
        <v>244</v>
      </c>
      <c r="B32" s="254"/>
      <c r="C32" s="216">
        <f>SUM(C28:C31)</f>
        <v>553</v>
      </c>
      <c r="D32" s="220"/>
      <c r="E32" s="220"/>
      <c r="F32" s="220"/>
      <c r="G32" s="220"/>
    </row>
    <row r="33" spans="1:7">
      <c r="A33" s="218"/>
      <c r="B33" s="240" t="s">
        <v>67</v>
      </c>
      <c r="C33" s="216"/>
      <c r="D33" s="215">
        <f>D34+D35+D36+D37+D38+D39</f>
        <v>23.039939999999998</v>
      </c>
      <c r="E33" s="215">
        <f>E34+E35+E36+E37+E38+E39</f>
        <v>54.125959999999992</v>
      </c>
      <c r="F33" s="215">
        <f>F34+F35+F36+F37+F38+F39</f>
        <v>102.28878</v>
      </c>
      <c r="G33" s="215">
        <f>G34+G35+G36+G37+G38+G39</f>
        <v>1011.7735</v>
      </c>
    </row>
    <row r="34" spans="1:7">
      <c r="A34" s="218" t="s">
        <v>68</v>
      </c>
      <c r="B34" s="219" t="s">
        <v>69</v>
      </c>
      <c r="C34" s="218">
        <v>100</v>
      </c>
      <c r="D34" s="220">
        <f>0.84*1.666</f>
        <v>1.3994399999999998</v>
      </c>
      <c r="E34" s="220">
        <f>3.06*1.666</f>
        <v>5.0979599999999996</v>
      </c>
      <c r="F34" s="220">
        <f>6.83*1.666</f>
        <v>11.378779999999999</v>
      </c>
      <c r="G34" s="220">
        <f>59.75*1.666</f>
        <v>99.543499999999995</v>
      </c>
    </row>
    <row r="35" spans="1:7" ht="25.5">
      <c r="A35" s="218" t="s">
        <v>179</v>
      </c>
      <c r="B35" s="219" t="s">
        <v>141</v>
      </c>
      <c r="C35" s="218">
        <v>255</v>
      </c>
      <c r="D35" s="220">
        <f>2.57*1.25</f>
        <v>3.2124999999999999</v>
      </c>
      <c r="E35" s="220">
        <f>9.24*1.25</f>
        <v>11.55</v>
      </c>
      <c r="F35" s="220">
        <f>18.04*1.25</f>
        <v>22.549999999999997</v>
      </c>
      <c r="G35" s="220">
        <f>169.72*1.25</f>
        <v>212.15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180</v>
      </c>
      <c r="D37" s="220">
        <f>5.64*1.2</f>
        <v>6.7679999999999998</v>
      </c>
      <c r="E37" s="220">
        <f>2.84*1.2</f>
        <v>3.4079999999999999</v>
      </c>
      <c r="F37" s="220">
        <f>36*1.2</f>
        <v>43.199999999999996</v>
      </c>
      <c r="G37" s="220">
        <f>201*1.2</f>
        <v>241.2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3" t="s">
        <v>244</v>
      </c>
      <c r="B40" s="254"/>
      <c r="C40" s="216">
        <f>SUM(C34:C39)</f>
        <v>855</v>
      </c>
      <c r="D40" s="220"/>
      <c r="E40" s="220"/>
      <c r="F40" s="220"/>
      <c r="G40" s="220"/>
    </row>
    <row r="41" spans="1:7" ht="27.95" customHeight="1">
      <c r="A41" s="259" t="s">
        <v>237</v>
      </c>
      <c r="B41" s="260"/>
      <c r="C41" s="261"/>
      <c r="D41" s="215">
        <f>D42+D48</f>
        <v>43.667099999999998</v>
      </c>
      <c r="E41" s="215">
        <f>E42+E48</f>
        <v>40.778599999999997</v>
      </c>
      <c r="F41" s="215">
        <f>F42+F48</f>
        <v>221.29239999999999</v>
      </c>
      <c r="G41" s="215">
        <f>G42+G48</f>
        <v>1480.4850000000001</v>
      </c>
    </row>
    <row r="42" spans="1:7">
      <c r="A42" s="216"/>
      <c r="B42" s="217" t="s">
        <v>66</v>
      </c>
      <c r="C42" s="216"/>
      <c r="D42" s="215">
        <f>D43+D44+D45+D46</f>
        <v>13.68</v>
      </c>
      <c r="E42" s="215">
        <f>E43+E44+E45+E46</f>
        <v>8.5</v>
      </c>
      <c r="F42" s="215">
        <f>F43+F44+F45+F46</f>
        <v>101.5</v>
      </c>
      <c r="G42" s="215">
        <f>G43+G44+G45+G46</f>
        <v>560.125</v>
      </c>
    </row>
    <row r="43" spans="1:7">
      <c r="A43" s="218"/>
      <c r="B43" s="219" t="s">
        <v>41</v>
      </c>
      <c r="C43" s="218">
        <v>100</v>
      </c>
      <c r="D43" s="220">
        <v>0.4</v>
      </c>
      <c r="E43" s="220">
        <v>0</v>
      </c>
      <c r="F43" s="220">
        <v>9.8000000000000007</v>
      </c>
      <c r="G43" s="220">
        <v>42.84</v>
      </c>
    </row>
    <row r="44" spans="1:7" ht="25.5">
      <c r="A44" s="218" t="s">
        <v>174</v>
      </c>
      <c r="B44" s="219" t="s">
        <v>201</v>
      </c>
      <c r="C44" s="218">
        <v>203</v>
      </c>
      <c r="D44" s="220">
        <v>8.48</v>
      </c>
      <c r="E44" s="220">
        <v>8</v>
      </c>
      <c r="F44" s="220">
        <v>36.1</v>
      </c>
      <c r="G44" s="220">
        <v>259.36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18"/>
      <c r="B46" s="219" t="s">
        <v>11</v>
      </c>
      <c r="C46" s="218">
        <v>50</v>
      </c>
      <c r="D46" s="220">
        <f>3.04*1.25</f>
        <v>3.8</v>
      </c>
      <c r="E46" s="220">
        <f>0.32*1.25</f>
        <v>0.4</v>
      </c>
      <c r="F46" s="220">
        <f>19.68*1.25</f>
        <v>24.6</v>
      </c>
      <c r="G46" s="220">
        <f>98.34*1.25</f>
        <v>122.92500000000001</v>
      </c>
    </row>
    <row r="47" spans="1:7">
      <c r="A47" s="253" t="s">
        <v>244</v>
      </c>
      <c r="B47" s="254"/>
      <c r="C47" s="216">
        <f>SUM(C43:C46)</f>
        <v>553</v>
      </c>
      <c r="D47" s="220"/>
      <c r="E47" s="220"/>
      <c r="F47" s="220"/>
      <c r="G47" s="220"/>
    </row>
    <row r="48" spans="1:7">
      <c r="A48" s="218"/>
      <c r="B48" s="240" t="s">
        <v>67</v>
      </c>
      <c r="C48" s="216"/>
      <c r="D48" s="215">
        <f>D49+D50+D51+D52+D53+D54</f>
        <v>29.987099999999998</v>
      </c>
      <c r="E48" s="215">
        <f>E49+E50+E51+E52+E53+E54</f>
        <v>32.278599999999997</v>
      </c>
      <c r="F48" s="215">
        <f>F49+F50+F51+F52+F53+F54</f>
        <v>119.7924</v>
      </c>
      <c r="G48" s="215">
        <f>G49+G50+G51+G52+G53+G54</f>
        <v>920.36</v>
      </c>
    </row>
    <row r="49" spans="1:7">
      <c r="A49" s="218" t="s">
        <v>82</v>
      </c>
      <c r="B49" s="219" t="s">
        <v>83</v>
      </c>
      <c r="C49" s="218">
        <v>100</v>
      </c>
      <c r="D49" s="220">
        <f>1.21*1.67</f>
        <v>2.0206999999999997</v>
      </c>
      <c r="E49" s="220">
        <f>6.2*1.67</f>
        <v>10.353999999999999</v>
      </c>
      <c r="F49" s="220">
        <f>12.33*1.67</f>
        <v>20.591100000000001</v>
      </c>
      <c r="G49" s="220">
        <f>113*1.67</f>
        <v>188.70999999999998</v>
      </c>
    </row>
    <row r="50" spans="1:7" ht="25.5">
      <c r="A50" s="218" t="s">
        <v>117</v>
      </c>
      <c r="B50" s="219" t="s">
        <v>145</v>
      </c>
      <c r="C50" s="218">
        <v>260</v>
      </c>
      <c r="D50" s="220">
        <f>2.64*1.25</f>
        <v>3.3000000000000003</v>
      </c>
      <c r="E50" s="220">
        <f>3.56*1.25</f>
        <v>4.45</v>
      </c>
      <c r="F50" s="220">
        <f>11.76*1.25</f>
        <v>14.7</v>
      </c>
      <c r="G50" s="220">
        <f>93*1.25</f>
        <v>116.25</v>
      </c>
    </row>
    <row r="51" spans="1:7">
      <c r="A51" s="218" t="s">
        <v>131</v>
      </c>
      <c r="B51" s="219" t="s">
        <v>146</v>
      </c>
      <c r="C51" s="218">
        <v>100</v>
      </c>
      <c r="D51" s="220">
        <f>11.84*1.11</f>
        <v>13.1424</v>
      </c>
      <c r="E51" s="220">
        <f>10.06*1.11</f>
        <v>11.166600000000001</v>
      </c>
      <c r="F51" s="220">
        <f>16.03*1.11</f>
        <v>17.793300000000002</v>
      </c>
      <c r="G51" s="220">
        <f>208*1.11</f>
        <v>230.88000000000002</v>
      </c>
    </row>
    <row r="52" spans="1:7">
      <c r="A52" s="221" t="s">
        <v>38</v>
      </c>
      <c r="B52" s="219" t="s">
        <v>36</v>
      </c>
      <c r="C52" s="218">
        <v>180</v>
      </c>
      <c r="D52" s="220">
        <f>8.77*1.2</f>
        <v>10.523999999999999</v>
      </c>
      <c r="E52" s="220">
        <f>5.19*1.2</f>
        <v>6.2280000000000006</v>
      </c>
      <c r="F52" s="220">
        <f>39.6*1.23</f>
        <v>48.707999999999998</v>
      </c>
      <c r="G52" s="220">
        <v>304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3" t="s">
        <v>244</v>
      </c>
      <c r="B55" s="254"/>
      <c r="C55" s="216">
        <f>SUM(C49:C54)</f>
        <v>860</v>
      </c>
      <c r="D55" s="220"/>
      <c r="E55" s="220"/>
      <c r="F55" s="220"/>
      <c r="G55" s="220"/>
    </row>
    <row r="56" spans="1:7" ht="27.95" customHeight="1">
      <c r="A56" s="259" t="s">
        <v>238</v>
      </c>
      <c r="B56" s="260"/>
      <c r="C56" s="261"/>
      <c r="D56" s="215">
        <f>D57+D63</f>
        <v>47.518500000000003</v>
      </c>
      <c r="E56" s="215">
        <f>E57+E63</f>
        <v>46.386200000000002</v>
      </c>
      <c r="F56" s="215">
        <f>F57+F63</f>
        <v>205.7038</v>
      </c>
      <c r="G56" s="215">
        <f>G57+G63</f>
        <v>1482.376</v>
      </c>
    </row>
    <row r="57" spans="1:7">
      <c r="A57" s="216"/>
      <c r="B57" s="217" t="s">
        <v>66</v>
      </c>
      <c r="C57" s="216"/>
      <c r="D57" s="215">
        <f>D58+D59+D60+D61</f>
        <v>17.024999999999999</v>
      </c>
      <c r="E57" s="215">
        <f>E58+E59+E60+E61</f>
        <v>9.4224999999999994</v>
      </c>
      <c r="F57" s="215">
        <f>F58+F59+F60+F61</f>
        <v>111.12</v>
      </c>
      <c r="G57" s="215">
        <f>G58+G59+G60+G61</f>
        <v>623.05000000000007</v>
      </c>
    </row>
    <row r="58" spans="1:7">
      <c r="A58" s="221" t="s">
        <v>192</v>
      </c>
      <c r="B58" s="219" t="s">
        <v>190</v>
      </c>
      <c r="C58" s="218">
        <v>60</v>
      </c>
      <c r="D58" s="220">
        <v>4.91</v>
      </c>
      <c r="E58" s="220">
        <v>3.79</v>
      </c>
      <c r="F58" s="220">
        <v>36.090000000000003</v>
      </c>
      <c r="G58" s="220">
        <v>206.31</v>
      </c>
    </row>
    <row r="59" spans="1:7" ht="25.5">
      <c r="A59" s="218" t="s">
        <v>174</v>
      </c>
      <c r="B59" s="219" t="s">
        <v>200</v>
      </c>
      <c r="C59" s="218">
        <v>253</v>
      </c>
      <c r="D59" s="220">
        <f>7.26*1.25</f>
        <v>9.0749999999999993</v>
      </c>
      <c r="E59" s="220">
        <f>4.25*1.25</f>
        <v>5.3125</v>
      </c>
      <c r="F59" s="220">
        <f>36.28*1.25</f>
        <v>45.35</v>
      </c>
      <c r="G59" s="220">
        <v>276.39999999999998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40</v>
      </c>
      <c r="D61" s="220">
        <v>3.04</v>
      </c>
      <c r="E61" s="220">
        <v>0.32</v>
      </c>
      <c r="F61" s="220">
        <v>19.68</v>
      </c>
      <c r="G61" s="220">
        <v>98.34</v>
      </c>
    </row>
    <row r="62" spans="1:7" ht="15" customHeight="1">
      <c r="A62" s="253" t="s">
        <v>244</v>
      </c>
      <c r="B62" s="254"/>
      <c r="C62" s="216">
        <f>SUM(C58:C61)</f>
        <v>553</v>
      </c>
      <c r="D62" s="220"/>
      <c r="E62" s="220"/>
      <c r="F62" s="220"/>
      <c r="G62" s="220"/>
    </row>
    <row r="63" spans="1:7" ht="15" customHeight="1">
      <c r="A63" s="218"/>
      <c r="B63" s="240" t="s">
        <v>67</v>
      </c>
      <c r="C63" s="216"/>
      <c r="D63" s="215">
        <f>D64+D65+D66+D67+D68</f>
        <v>30.493500000000001</v>
      </c>
      <c r="E63" s="215">
        <f>E64+E65+E66+E67+E68</f>
        <v>36.963700000000003</v>
      </c>
      <c r="F63" s="215">
        <f>F64+F65+F66+F67+F68</f>
        <v>94.583799999999997</v>
      </c>
      <c r="G63" s="215">
        <f>G64+G65+G66+G67+G68</f>
        <v>859.32599999999991</v>
      </c>
    </row>
    <row r="64" spans="1:7" ht="15" customHeight="1">
      <c r="A64" s="218" t="s">
        <v>184</v>
      </c>
      <c r="B64" s="219" t="s">
        <v>151</v>
      </c>
      <c r="C64" s="218">
        <v>100</v>
      </c>
      <c r="D64" s="220">
        <f>0.8*1.67</f>
        <v>1.3360000000000001</v>
      </c>
      <c r="E64" s="220">
        <f>3.11*1.67</f>
        <v>5.1936999999999998</v>
      </c>
      <c r="F64" s="220">
        <f>5.64*1.67</f>
        <v>9.4187999999999992</v>
      </c>
      <c r="G64" s="220">
        <f>55.8*1.67</f>
        <v>93.185999999999993</v>
      </c>
    </row>
    <row r="65" spans="1:7" ht="30" customHeight="1">
      <c r="A65" s="218" t="s">
        <v>180</v>
      </c>
      <c r="B65" s="219" t="s">
        <v>148</v>
      </c>
      <c r="C65" s="218">
        <v>260</v>
      </c>
      <c r="D65" s="220">
        <f>6.51*1.25</f>
        <v>8.1374999999999993</v>
      </c>
      <c r="E65" s="220">
        <f>12.28*1.25</f>
        <v>15.35</v>
      </c>
      <c r="F65" s="220">
        <f>18.94*1.25</f>
        <v>23.675000000000001</v>
      </c>
      <c r="G65" s="220">
        <v>271.76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4.2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3" t="s">
        <v>244</v>
      </c>
      <c r="B69" s="254"/>
      <c r="C69" s="216">
        <f>SUM(C64:C68)</f>
        <v>840</v>
      </c>
      <c r="D69" s="220"/>
      <c r="E69" s="220"/>
      <c r="F69" s="220"/>
      <c r="G69" s="220"/>
    </row>
    <row r="70" spans="1:7" ht="27.95" customHeight="1">
      <c r="A70" s="259" t="s">
        <v>239</v>
      </c>
      <c r="B70" s="260"/>
      <c r="C70" s="261"/>
      <c r="D70" s="215">
        <f>D71+D77</f>
        <v>47.972900000000003</v>
      </c>
      <c r="E70" s="215">
        <f>E71+E77</f>
        <v>36.838700000000003</v>
      </c>
      <c r="F70" s="215">
        <f>F71+F77</f>
        <v>228.12540000000001</v>
      </c>
      <c r="G70" s="215">
        <f>G71+G77</f>
        <v>1491.5707</v>
      </c>
    </row>
    <row r="71" spans="1:7">
      <c r="A71" s="216"/>
      <c r="B71" s="217" t="s">
        <v>66</v>
      </c>
      <c r="C71" s="216"/>
      <c r="D71" s="215">
        <f>D72+D73+D74+D75</f>
        <v>15.64</v>
      </c>
      <c r="E71" s="215">
        <f>E72+E73+E74+E75</f>
        <v>9.620000000000001</v>
      </c>
      <c r="F71" s="215">
        <f>F72+F73+F74+F75</f>
        <v>94.050000000000011</v>
      </c>
      <c r="G71" s="215">
        <f>G72+G73+G74+G75</f>
        <v>547.32500000000005</v>
      </c>
    </row>
    <row r="72" spans="1:7">
      <c r="A72" s="218"/>
      <c r="B72" s="219" t="s">
        <v>41</v>
      </c>
      <c r="C72" s="218">
        <v>100</v>
      </c>
      <c r="D72" s="220">
        <v>0.4</v>
      </c>
      <c r="E72" s="220">
        <v>0</v>
      </c>
      <c r="F72" s="220">
        <v>9.8000000000000007</v>
      </c>
      <c r="G72" s="220">
        <v>42.84</v>
      </c>
    </row>
    <row r="73" spans="1:7">
      <c r="A73" s="218" t="s">
        <v>193</v>
      </c>
      <c r="B73" s="219" t="s">
        <v>191</v>
      </c>
      <c r="C73" s="218">
        <v>203</v>
      </c>
      <c r="D73" s="220">
        <v>11.44</v>
      </c>
      <c r="E73" s="220">
        <v>9.2200000000000006</v>
      </c>
      <c r="F73" s="220">
        <v>49.65</v>
      </c>
      <c r="G73" s="220">
        <v>339.56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18"/>
      <c r="B75" s="219" t="s">
        <v>11</v>
      </c>
      <c r="C75" s="218">
        <v>50</v>
      </c>
      <c r="D75" s="220">
        <f>3.04*1.25</f>
        <v>3.8</v>
      </c>
      <c r="E75" s="220">
        <f>0.32*1.25</f>
        <v>0.4</v>
      </c>
      <c r="F75" s="220">
        <f>19.68*1.25</f>
        <v>24.6</v>
      </c>
      <c r="G75" s="220">
        <f>98.34*1.25</f>
        <v>122.92500000000001</v>
      </c>
    </row>
    <row r="76" spans="1:7">
      <c r="A76" s="253" t="s">
        <v>244</v>
      </c>
      <c r="B76" s="254"/>
      <c r="C76" s="216">
        <f>SUM(C72:C75)</f>
        <v>553</v>
      </c>
      <c r="D76" s="220"/>
      <c r="E76" s="220"/>
      <c r="F76" s="220"/>
      <c r="G76" s="220"/>
    </row>
    <row r="77" spans="1:7">
      <c r="A77" s="218"/>
      <c r="B77" s="240" t="s">
        <v>67</v>
      </c>
      <c r="C77" s="216"/>
      <c r="D77" s="215">
        <f>D78+D79+D80+D81+D82+D83</f>
        <v>32.332900000000002</v>
      </c>
      <c r="E77" s="215">
        <f>E78+E79+E80+E81+E82+E83</f>
        <v>27.218699999999998</v>
      </c>
      <c r="F77" s="215">
        <f>F78+F79+F80+F81+F82+F83</f>
        <v>134.0754</v>
      </c>
      <c r="G77" s="215">
        <f>G78+G79+G80+G81+G82+G83</f>
        <v>944.24569999999994</v>
      </c>
    </row>
    <row r="78" spans="1:7" ht="18.75" customHeight="1">
      <c r="A78" s="222" t="s">
        <v>187</v>
      </c>
      <c r="B78" s="219" t="s">
        <v>147</v>
      </c>
      <c r="C78" s="218">
        <v>100</v>
      </c>
      <c r="D78" s="220">
        <f>0.74*1.66</f>
        <v>1.2283999999999999</v>
      </c>
      <c r="E78" s="220">
        <f>0.06*1.67</f>
        <v>0.1002</v>
      </c>
      <c r="F78" s="220">
        <f>16.92*1.67</f>
        <v>28.256400000000003</v>
      </c>
      <c r="G78" s="220">
        <f>74.71*1.67</f>
        <v>124.76569999999998</v>
      </c>
    </row>
    <row r="79" spans="1:7">
      <c r="A79" s="218" t="s">
        <v>178</v>
      </c>
      <c r="B79" s="219" t="s">
        <v>138</v>
      </c>
      <c r="C79" s="218">
        <v>255</v>
      </c>
      <c r="D79" s="220">
        <f>3.09*1.25</f>
        <v>3.8624999999999998</v>
      </c>
      <c r="E79" s="220">
        <f>4.61*1.25</f>
        <v>5.7625000000000002</v>
      </c>
      <c r="F79" s="220">
        <f>12.54*1.25</f>
        <v>15.674999999999999</v>
      </c>
      <c r="G79" s="220">
        <f>107.36*1.25</f>
        <v>134.19999999999999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1">
      <c r="A81" s="221" t="s">
        <v>134</v>
      </c>
      <c r="B81" s="219" t="s">
        <v>154</v>
      </c>
      <c r="C81" s="218">
        <v>180</v>
      </c>
      <c r="D81" s="220">
        <f>16.26*1.2</f>
        <v>19.512</v>
      </c>
      <c r="E81" s="220">
        <f>4.03*1.2</f>
        <v>4.8360000000000003</v>
      </c>
      <c r="F81" s="220">
        <f>33.97*1.2</f>
        <v>40.763999999999996</v>
      </c>
      <c r="G81" s="220">
        <f>247.3*1.2</f>
        <v>296.76</v>
      </c>
    </row>
    <row r="82" spans="1:21" ht="18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1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1">
      <c r="A84" s="253" t="s">
        <v>244</v>
      </c>
      <c r="B84" s="254"/>
      <c r="C84" s="216">
        <f>SUM(C78:C83)</f>
        <v>865</v>
      </c>
      <c r="D84" s="220"/>
      <c r="E84" s="220"/>
      <c r="F84" s="220"/>
      <c r="G84" s="220"/>
    </row>
    <row r="85" spans="1:21" ht="27.95" customHeight="1">
      <c r="A85" s="259" t="s">
        <v>240</v>
      </c>
      <c r="B85" s="260"/>
      <c r="C85" s="261"/>
      <c r="D85" s="215">
        <f>D86+D92</f>
        <v>36.7607</v>
      </c>
      <c r="E85" s="215">
        <f>E86+E92</f>
        <v>69.879000000000005</v>
      </c>
      <c r="F85" s="215">
        <f>F86+F92</f>
        <v>197.42360000000002</v>
      </c>
      <c r="G85" s="215">
        <f>G86+G92</f>
        <v>1608.2647400000001</v>
      </c>
    </row>
    <row r="86" spans="1:21">
      <c r="A86" s="216"/>
      <c r="B86" s="217" t="s">
        <v>66</v>
      </c>
      <c r="C86" s="216"/>
      <c r="D86" s="215">
        <f>D87+D88+D89+D90</f>
        <v>12.399999999999999</v>
      </c>
      <c r="E86" s="215">
        <f>E87+E88+E89+E90</f>
        <v>10.6</v>
      </c>
      <c r="F86" s="215">
        <f>F87+F88+F89+F90</f>
        <v>94.420000000000016</v>
      </c>
      <c r="G86" s="215">
        <f>G87+G88+G89+G90</f>
        <v>544.08500000000004</v>
      </c>
    </row>
    <row r="87" spans="1:21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1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3"/>
      <c r="N88" s="192"/>
      <c r="O88" s="192"/>
      <c r="P88" s="192"/>
      <c r="Q88" s="192"/>
      <c r="R88" s="192"/>
    </row>
    <row r="89" spans="1:21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3"/>
      <c r="N89" s="192"/>
      <c r="O89" s="192"/>
      <c r="P89" s="192"/>
      <c r="Q89" s="192"/>
      <c r="R89" s="192"/>
    </row>
    <row r="90" spans="1:21">
      <c r="A90" s="222"/>
      <c r="B90" s="219" t="s">
        <v>11</v>
      </c>
      <c r="C90" s="218">
        <v>50</v>
      </c>
      <c r="D90" s="220">
        <f>3.04*1.25</f>
        <v>3.8</v>
      </c>
      <c r="E90" s="220">
        <f>0.32*1.25</f>
        <v>0.4</v>
      </c>
      <c r="F90" s="220">
        <f>19.68*1.25</f>
        <v>24.6</v>
      </c>
      <c r="G90" s="220">
        <f>98.34*1.25</f>
        <v>122.92500000000001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</row>
    <row r="91" spans="1:21">
      <c r="A91" s="253" t="s">
        <v>244</v>
      </c>
      <c r="B91" s="254"/>
      <c r="C91" s="223">
        <f>SUM(C87:C90)</f>
        <v>553</v>
      </c>
      <c r="D91" s="224"/>
      <c r="E91" s="224"/>
      <c r="F91" s="224"/>
      <c r="G91" s="224"/>
    </row>
    <row r="92" spans="1:21">
      <c r="A92" s="221"/>
      <c r="B92" s="240" t="s">
        <v>67</v>
      </c>
      <c r="C92" s="223"/>
      <c r="D92" s="229">
        <f>D93+D94+D95+D96+D97</f>
        <v>24.360699999999998</v>
      </c>
      <c r="E92" s="229">
        <f>E93+E94+E95+E96+E97</f>
        <v>59.279000000000003</v>
      </c>
      <c r="F92" s="229">
        <f>F93+F94+F95+F96+F97</f>
        <v>103.00360000000001</v>
      </c>
      <c r="G92" s="229">
        <f>G93+G94+G95+G96+G97</f>
        <v>1064.17974</v>
      </c>
    </row>
    <row r="93" spans="1:21" ht="16.5" customHeight="1">
      <c r="A93" s="218" t="s">
        <v>82</v>
      </c>
      <c r="B93" s="219" t="s">
        <v>83</v>
      </c>
      <c r="C93" s="218">
        <v>100</v>
      </c>
      <c r="D93" s="220">
        <f>1.21*1.67</f>
        <v>2.0206999999999997</v>
      </c>
      <c r="E93" s="220">
        <f>6.2*1.67</f>
        <v>10.353999999999999</v>
      </c>
      <c r="F93" s="220">
        <f>12.33*1.67</f>
        <v>20.591100000000001</v>
      </c>
      <c r="G93" s="220">
        <f>113*1.67</f>
        <v>188.70999999999998</v>
      </c>
      <c r="H93" s="207"/>
      <c r="I93" s="209"/>
      <c r="J93" s="195"/>
      <c r="K93" s="195"/>
      <c r="L93" s="195"/>
      <c r="M93" s="195"/>
      <c r="N93" s="195"/>
      <c r="O93" s="192"/>
      <c r="P93" s="192"/>
      <c r="Q93" s="192"/>
      <c r="R93" s="192"/>
      <c r="S93" s="192"/>
      <c r="T93" s="192"/>
      <c r="U93" s="192"/>
    </row>
    <row r="94" spans="1:21" ht="28.5" customHeight="1">
      <c r="A94" s="218" t="s">
        <v>124</v>
      </c>
      <c r="B94" s="219" t="s">
        <v>155</v>
      </c>
      <c r="C94" s="218">
        <v>255</v>
      </c>
      <c r="D94" s="220">
        <f>3.96*1.25</f>
        <v>4.95</v>
      </c>
      <c r="E94" s="220">
        <f>4.86*1.25</f>
        <v>6.0750000000000002</v>
      </c>
      <c r="F94" s="220">
        <f>17.01*1.25</f>
        <v>21.262500000000003</v>
      </c>
      <c r="G94" s="220">
        <f>131.81*1.254</f>
        <v>165.28973999999999</v>
      </c>
      <c r="H94" s="211"/>
      <c r="I94" s="210"/>
      <c r="J94" s="18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2"/>
    </row>
    <row r="95" spans="1:21">
      <c r="A95" s="218" t="s">
        <v>226</v>
      </c>
      <c r="B95" s="219" t="s">
        <v>293</v>
      </c>
      <c r="C95" s="218">
        <v>250</v>
      </c>
      <c r="D95" s="220">
        <v>14.33</v>
      </c>
      <c r="E95" s="220">
        <v>42.53</v>
      </c>
      <c r="F95" s="220">
        <v>12.16</v>
      </c>
      <c r="G95" s="220">
        <v>488.68</v>
      </c>
    </row>
    <row r="96" spans="1:21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195"/>
      <c r="I96" s="195"/>
      <c r="J96" s="195"/>
      <c r="K96" s="195"/>
      <c r="L96" s="195"/>
      <c r="M96" s="195"/>
      <c r="N96" s="183"/>
      <c r="O96" s="195"/>
      <c r="P96" s="195"/>
      <c r="Q96" s="195"/>
      <c r="R96" s="195"/>
      <c r="S96" s="195"/>
    </row>
    <row r="97" spans="1:25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5">
      <c r="A98" s="253" t="s">
        <v>244</v>
      </c>
      <c r="B98" s="254"/>
      <c r="C98" s="216">
        <f>SUM(C93:C97)</f>
        <v>845</v>
      </c>
      <c r="D98" s="220"/>
      <c r="E98" s="220"/>
      <c r="F98" s="220"/>
      <c r="G98" s="220"/>
    </row>
    <row r="99" spans="1:25" ht="27.95" customHeight="1">
      <c r="A99" s="255" t="s">
        <v>64</v>
      </c>
      <c r="B99" s="255"/>
      <c r="C99" s="255"/>
      <c r="D99" s="215">
        <f>D100+D106</f>
        <v>41.138800000000003</v>
      </c>
      <c r="E99" s="215">
        <f>E100+E106</f>
        <v>49.922899999999998</v>
      </c>
      <c r="F99" s="215">
        <f>F100+F106</f>
        <v>230.3031</v>
      </c>
      <c r="G99" s="215">
        <f>G100+G106</f>
        <v>1615.1859999999999</v>
      </c>
    </row>
    <row r="100" spans="1:25">
      <c r="A100" s="216"/>
      <c r="B100" s="217" t="s">
        <v>66</v>
      </c>
      <c r="C100" s="216"/>
      <c r="D100" s="215">
        <f>D101+D102+D103+D104</f>
        <v>19.169699999999999</v>
      </c>
      <c r="E100" s="215">
        <f>E101+E102+E103+E104</f>
        <v>11.3893</v>
      </c>
      <c r="F100" s="215">
        <f>F101+F102+F103+F104</f>
        <v>141.0103</v>
      </c>
      <c r="G100" s="215">
        <f>G101+G102+G103+G104</f>
        <v>776.03099999999995</v>
      </c>
    </row>
    <row r="101" spans="1:25" ht="26.25" customHeight="1">
      <c r="A101" s="218" t="s">
        <v>174</v>
      </c>
      <c r="B101" s="219" t="s">
        <v>202</v>
      </c>
      <c r="C101" s="218">
        <v>203</v>
      </c>
      <c r="D101" s="220">
        <v>7.16</v>
      </c>
      <c r="E101" s="220">
        <v>4.66</v>
      </c>
      <c r="F101" s="220">
        <v>40.520000000000003</v>
      </c>
      <c r="G101" s="220">
        <v>242.96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</row>
    <row r="102" spans="1:25" ht="13.5" customHeight="1">
      <c r="A102" s="221" t="s">
        <v>192</v>
      </c>
      <c r="B102" s="219" t="s">
        <v>190</v>
      </c>
      <c r="C102" s="218">
        <v>100</v>
      </c>
      <c r="D102" s="220">
        <f>4.91*1.67</f>
        <v>8.1997</v>
      </c>
      <c r="E102" s="220">
        <f>3.79*1.67</f>
        <v>6.3292999999999999</v>
      </c>
      <c r="F102" s="220">
        <f>36.09*1.67</f>
        <v>60.270300000000006</v>
      </c>
      <c r="G102" s="220">
        <v>344.5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</row>
    <row r="103" spans="1:25" ht="14.25" customHeight="1">
      <c r="A103" s="221" t="s">
        <v>223</v>
      </c>
      <c r="B103" s="219" t="s">
        <v>158</v>
      </c>
      <c r="C103" s="218">
        <v>200</v>
      </c>
      <c r="D103" s="220">
        <v>0.01</v>
      </c>
      <c r="E103" s="220"/>
      <c r="F103" s="220">
        <v>15.62</v>
      </c>
      <c r="G103" s="220">
        <v>65.646000000000001</v>
      </c>
      <c r="H103" s="195"/>
      <c r="I103" s="183"/>
      <c r="J103" s="195"/>
      <c r="K103" s="195"/>
      <c r="L103" s="183"/>
      <c r="M103" s="195"/>
      <c r="N103" s="195"/>
      <c r="O103" s="183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</row>
    <row r="104" spans="1:25" ht="14.25" customHeight="1">
      <c r="A104" s="218"/>
      <c r="B104" s="219" t="s">
        <v>11</v>
      </c>
      <c r="C104" s="218">
        <v>50</v>
      </c>
      <c r="D104" s="220">
        <f>3.04*1.25</f>
        <v>3.8</v>
      </c>
      <c r="E104" s="220">
        <f>0.32*1.25</f>
        <v>0.4</v>
      </c>
      <c r="F104" s="220">
        <f>19.68*1.25</f>
        <v>24.6</v>
      </c>
      <c r="G104" s="220">
        <f>98.34*1.25</f>
        <v>122.92500000000001</v>
      </c>
      <c r="H104" s="195"/>
      <c r="I104" s="196"/>
      <c r="J104" s="195"/>
      <c r="K104" s="195"/>
      <c r="L104" s="196"/>
      <c r="M104" s="183"/>
      <c r="N104" s="183"/>
      <c r="O104" s="183"/>
      <c r="P104" s="183"/>
      <c r="Q104" s="183"/>
      <c r="R104" s="183"/>
      <c r="S104" s="183"/>
      <c r="T104" s="183"/>
      <c r="U104" s="183"/>
      <c r="V104" s="195"/>
      <c r="W104" s="183"/>
      <c r="X104" s="183"/>
      <c r="Y104" s="196"/>
    </row>
    <row r="105" spans="1:25" ht="18.75" customHeight="1">
      <c r="A105" s="253" t="s">
        <v>244</v>
      </c>
      <c r="B105" s="254"/>
      <c r="C105" s="223">
        <f>SUM(C101:C104)</f>
        <v>553</v>
      </c>
      <c r="D105" s="224"/>
      <c r="E105" s="224"/>
      <c r="F105" s="224"/>
      <c r="G105" s="224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</row>
    <row r="106" spans="1:25" ht="17.25" customHeight="1">
      <c r="A106" s="218"/>
      <c r="B106" s="240" t="s">
        <v>67</v>
      </c>
      <c r="C106" s="223"/>
      <c r="D106" s="229">
        <f>D107+D108+D109+D110+D111+D112</f>
        <v>21.969100000000001</v>
      </c>
      <c r="E106" s="229">
        <f>E107+E108+E109+E110+E111+E112</f>
        <v>38.5336</v>
      </c>
      <c r="F106" s="229">
        <f>F107+F108+F109+F110+F111+F112</f>
        <v>89.2928</v>
      </c>
      <c r="G106" s="229">
        <f>G107+G108+G109+G110+G111+G112</f>
        <v>839.15499999999997</v>
      </c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</row>
    <row r="107" spans="1:25" ht="15" customHeight="1">
      <c r="A107" s="218" t="s">
        <v>186</v>
      </c>
      <c r="B107" s="219" t="s">
        <v>137</v>
      </c>
      <c r="C107" s="218">
        <v>100</v>
      </c>
      <c r="D107" s="220">
        <f>0.94*1.66</f>
        <v>1.5603999999999998</v>
      </c>
      <c r="E107" s="220">
        <f>4.06*1.66</f>
        <v>6.7395999999999994</v>
      </c>
      <c r="F107" s="220">
        <f>5.96*1.66</f>
        <v>9.8935999999999993</v>
      </c>
      <c r="G107" s="220">
        <v>108.76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</row>
    <row r="108" spans="1:25" ht="24" customHeight="1">
      <c r="A108" s="221" t="s">
        <v>181</v>
      </c>
      <c r="B108" s="219" t="s">
        <v>159</v>
      </c>
      <c r="C108" s="218">
        <v>260</v>
      </c>
      <c r="D108" s="220">
        <f>4.65*1.25</f>
        <v>5.8125</v>
      </c>
      <c r="E108" s="220">
        <f>6.92*1.25</f>
        <v>8.65</v>
      </c>
      <c r="F108" s="220">
        <f>12.49*1.25</f>
        <v>15.612500000000001</v>
      </c>
      <c r="G108" s="220">
        <f>134.268*1.25</f>
        <v>167.83500000000001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</row>
    <row r="109" spans="1:25" ht="14.25" customHeight="1">
      <c r="A109" s="221" t="s">
        <v>227</v>
      </c>
      <c r="B109" s="219" t="s">
        <v>195</v>
      </c>
      <c r="C109" s="227">
        <v>100</v>
      </c>
      <c r="D109" s="220">
        <v>9.6300000000000008</v>
      </c>
      <c r="E109" s="220">
        <v>12.61</v>
      </c>
      <c r="F109" s="220">
        <v>8.51</v>
      </c>
      <c r="G109" s="220">
        <v>189.68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</row>
    <row r="110" spans="1:25" ht="14.25" customHeight="1">
      <c r="A110" s="218" t="s">
        <v>34</v>
      </c>
      <c r="B110" s="219" t="s">
        <v>32</v>
      </c>
      <c r="C110" s="218">
        <v>200</v>
      </c>
      <c r="D110" s="220">
        <v>3.26</v>
      </c>
      <c r="E110" s="220">
        <f>7.8*1.33</f>
        <v>10.374000000000001</v>
      </c>
      <c r="F110" s="220">
        <f>21.99*1.33</f>
        <v>29.246700000000001</v>
      </c>
      <c r="G110" s="220">
        <v>234.48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</row>
    <row r="111" spans="1:25" ht="15.75" customHeight="1">
      <c r="A111" s="218" t="s">
        <v>188</v>
      </c>
      <c r="B111" s="219" t="s">
        <v>90</v>
      </c>
      <c r="C111" s="218">
        <v>200</v>
      </c>
      <c r="D111" s="220">
        <f>0.14*1.33</f>
        <v>0.18620000000000003</v>
      </c>
      <c r="E111" s="220"/>
      <c r="F111" s="220">
        <v>16.190000000000001</v>
      </c>
      <c r="G111" s="220">
        <v>89.23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</row>
    <row r="112" spans="1:25" ht="13.5" customHeight="1">
      <c r="A112" s="222"/>
      <c r="B112" s="219" t="s">
        <v>11</v>
      </c>
      <c r="C112" s="218">
        <v>20</v>
      </c>
      <c r="D112" s="220">
        <v>1.52</v>
      </c>
      <c r="E112" s="220">
        <v>0.16</v>
      </c>
      <c r="F112" s="220">
        <v>9.84</v>
      </c>
      <c r="G112" s="220">
        <v>49.17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</row>
    <row r="113" spans="1:25">
      <c r="A113" s="253" t="s">
        <v>244</v>
      </c>
      <c r="B113" s="254"/>
      <c r="C113" s="228">
        <f>SUM(C107:C112)</f>
        <v>880</v>
      </c>
      <c r="D113" s="220"/>
      <c r="E113" s="220"/>
      <c r="F113" s="220"/>
      <c r="G113" s="220"/>
      <c r="H113" s="195"/>
      <c r="I113" s="196"/>
      <c r="J113" s="195"/>
      <c r="K113" s="195"/>
      <c r="L113" s="196"/>
      <c r="M113" s="183"/>
      <c r="N113" s="183"/>
      <c r="O113" s="183"/>
      <c r="P113" s="183"/>
      <c r="Q113" s="183"/>
      <c r="R113" s="183"/>
      <c r="S113" s="183"/>
      <c r="T113" s="183"/>
      <c r="U113" s="183"/>
      <c r="V113" s="195"/>
      <c r="W113" s="183"/>
      <c r="X113" s="183"/>
      <c r="Y113" s="196"/>
    </row>
    <row r="114" spans="1:25" ht="27.95" customHeight="1">
      <c r="A114" s="259" t="s">
        <v>241</v>
      </c>
      <c r="B114" s="260"/>
      <c r="C114" s="261"/>
      <c r="D114" s="215">
        <f>D115+D121</f>
        <v>45.373040000000003</v>
      </c>
      <c r="E114" s="215">
        <f>E115+E121</f>
        <v>73.211160000000007</v>
      </c>
      <c r="F114" s="215">
        <f>F115+F121</f>
        <v>205.21928000000003</v>
      </c>
      <c r="G114" s="215">
        <f>G115+G121</f>
        <v>1712.4434999999999</v>
      </c>
    </row>
    <row r="115" spans="1:25">
      <c r="A115" s="216"/>
      <c r="B115" s="217" t="s">
        <v>66</v>
      </c>
      <c r="C115" s="216"/>
      <c r="D115" s="215">
        <f>D116+D117+D118+D119</f>
        <v>15.142499999999998</v>
      </c>
      <c r="E115" s="215">
        <f>E116+E117+E118+E119</f>
        <v>24.3675</v>
      </c>
      <c r="F115" s="215">
        <f>F116+F117+F118+F119</f>
        <v>109.01750000000001</v>
      </c>
      <c r="G115" s="215">
        <f>G116+G117+G118+G119</f>
        <v>740.82</v>
      </c>
    </row>
    <row r="116" spans="1:25" ht="25.5">
      <c r="A116" s="218" t="s">
        <v>174</v>
      </c>
      <c r="B116" s="219" t="s">
        <v>199</v>
      </c>
      <c r="C116" s="218">
        <v>253</v>
      </c>
      <c r="D116" s="220">
        <f>7.81*1.25</f>
        <v>9.7624999999999993</v>
      </c>
      <c r="E116" s="220">
        <f>4.55*1.25</f>
        <v>5.6875</v>
      </c>
      <c r="F116" s="220">
        <f>33.47*1.25</f>
        <v>41.837499999999999</v>
      </c>
      <c r="G116" s="220">
        <v>267.91000000000003</v>
      </c>
    </row>
    <row r="117" spans="1:25">
      <c r="A117" s="218"/>
      <c r="B117" s="219" t="s">
        <v>194</v>
      </c>
      <c r="C117" s="227">
        <v>60</v>
      </c>
      <c r="D117" s="220">
        <v>2.34</v>
      </c>
      <c r="E117" s="220">
        <v>18.36</v>
      </c>
      <c r="F117" s="220">
        <v>37.5</v>
      </c>
      <c r="G117" s="220">
        <v>332.57</v>
      </c>
    </row>
    <row r="118" spans="1:25">
      <c r="A118" s="218" t="s">
        <v>176</v>
      </c>
      <c r="B118" s="219" t="s">
        <v>10</v>
      </c>
      <c r="C118" s="227">
        <v>200</v>
      </c>
      <c r="D118" s="220">
        <v>0</v>
      </c>
      <c r="E118" s="220">
        <v>0</v>
      </c>
      <c r="F118" s="220">
        <v>10</v>
      </c>
      <c r="G118" s="220">
        <v>42</v>
      </c>
    </row>
    <row r="119" spans="1:25">
      <c r="A119" s="221"/>
      <c r="B119" s="226" t="s">
        <v>11</v>
      </c>
      <c r="C119" s="245">
        <v>40</v>
      </c>
      <c r="D119" s="224">
        <v>3.04</v>
      </c>
      <c r="E119" s="224">
        <v>0.32</v>
      </c>
      <c r="F119" s="224">
        <v>19.68</v>
      </c>
      <c r="G119" s="224">
        <v>98.34</v>
      </c>
    </row>
    <row r="120" spans="1:25">
      <c r="A120" s="253" t="s">
        <v>244</v>
      </c>
      <c r="B120" s="254"/>
      <c r="C120" s="235">
        <f>SUM(C116:C119)</f>
        <v>553</v>
      </c>
      <c r="D120" s="220"/>
      <c r="E120" s="220"/>
      <c r="F120" s="220"/>
      <c r="G120" s="220"/>
    </row>
    <row r="121" spans="1:25">
      <c r="A121" s="222"/>
      <c r="B121" s="240" t="s">
        <v>67</v>
      </c>
      <c r="C121" s="233"/>
      <c r="D121" s="215">
        <f>D122+D123+D124+D125+D126+D127</f>
        <v>30.230540000000001</v>
      </c>
      <c r="E121" s="215">
        <f>E122+E123+E124+E125+E126+E127</f>
        <v>48.84366</v>
      </c>
      <c r="F121" s="215">
        <f>F122+F123+F124+F125+F126+F127</f>
        <v>96.201780000000014</v>
      </c>
      <c r="G121" s="215">
        <f>G122+G123+G124+G125+G126+G127</f>
        <v>971.62349999999992</v>
      </c>
    </row>
    <row r="122" spans="1:25">
      <c r="A122" s="218" t="s">
        <v>68</v>
      </c>
      <c r="B122" s="219" t="s">
        <v>69</v>
      </c>
      <c r="C122" s="218">
        <v>100</v>
      </c>
      <c r="D122" s="220">
        <f>0.84*1.666</f>
        <v>1.3994399999999998</v>
      </c>
      <c r="E122" s="220">
        <f>3.06*1.666</f>
        <v>5.0979599999999996</v>
      </c>
      <c r="F122" s="220">
        <f>6.83*1.666</f>
        <v>11.378779999999999</v>
      </c>
      <c r="G122" s="220">
        <f>59.75*1.666</f>
        <v>99.543499999999995</v>
      </c>
    </row>
    <row r="123" spans="1:25" ht="25.5">
      <c r="A123" s="218" t="s">
        <v>130</v>
      </c>
      <c r="B123" s="219" t="s">
        <v>163</v>
      </c>
      <c r="C123" s="218">
        <v>260</v>
      </c>
      <c r="D123" s="220">
        <f>7.49*1.25</f>
        <v>9.3625000000000007</v>
      </c>
      <c r="E123" s="220">
        <f>(10.16+12.36)*1.25</f>
        <v>28.15</v>
      </c>
      <c r="F123" s="220">
        <f>(4.87+8.96)*1.25</f>
        <v>17.287500000000001</v>
      </c>
      <c r="G123" s="220">
        <v>365.28</v>
      </c>
    </row>
    <row r="124" spans="1:25">
      <c r="A124" s="218" t="s">
        <v>131</v>
      </c>
      <c r="B124" s="219" t="s">
        <v>146</v>
      </c>
      <c r="C124" s="218">
        <v>100</v>
      </c>
      <c r="D124" s="220">
        <f>11.84*1.11</f>
        <v>13.1424</v>
      </c>
      <c r="E124" s="220">
        <f>10.06*1.11</f>
        <v>11.166600000000001</v>
      </c>
      <c r="F124" s="220">
        <f>16.03*1.11</f>
        <v>17.793300000000002</v>
      </c>
      <c r="G124" s="220">
        <f>208*1.11</f>
        <v>230.88000000000002</v>
      </c>
    </row>
    <row r="125" spans="1:25">
      <c r="A125" s="218" t="s">
        <v>164</v>
      </c>
      <c r="B125" s="219" t="s">
        <v>165</v>
      </c>
      <c r="C125" s="218">
        <v>200</v>
      </c>
      <c r="D125" s="220">
        <f>3.14*1.33</f>
        <v>4.1762000000000006</v>
      </c>
      <c r="E125" s="220">
        <f>3.27*1.33</f>
        <v>4.3491</v>
      </c>
      <c r="F125" s="220">
        <f>22.34*1.33</f>
        <v>29.712200000000003</v>
      </c>
      <c r="G125" s="220">
        <v>182</v>
      </c>
    </row>
    <row r="126" spans="1:25">
      <c r="A126" s="221" t="s">
        <v>42</v>
      </c>
      <c r="B126" s="219" t="s">
        <v>216</v>
      </c>
      <c r="C126" s="218">
        <v>200</v>
      </c>
      <c r="D126" s="220">
        <f>1.15</f>
        <v>1.1499999999999999</v>
      </c>
      <c r="E126" s="220"/>
      <c r="F126" s="220">
        <v>12.03</v>
      </c>
      <c r="G126" s="220">
        <v>55.4</v>
      </c>
    </row>
    <row r="127" spans="1:25">
      <c r="A127" s="222"/>
      <c r="B127" s="219" t="s">
        <v>37</v>
      </c>
      <c r="C127" s="218">
        <v>20</v>
      </c>
      <c r="D127" s="220">
        <v>1</v>
      </c>
      <c r="E127" s="220">
        <v>0.08</v>
      </c>
      <c r="F127" s="220">
        <v>8</v>
      </c>
      <c r="G127" s="220">
        <v>38.520000000000003</v>
      </c>
    </row>
    <row r="128" spans="1:25">
      <c r="A128" s="253" t="s">
        <v>244</v>
      </c>
      <c r="B128" s="254"/>
      <c r="C128" s="216">
        <f>SUM(C122:C127)</f>
        <v>880</v>
      </c>
      <c r="D128" s="220"/>
      <c r="E128" s="220"/>
      <c r="F128" s="220"/>
      <c r="G128" s="220"/>
    </row>
    <row r="129" spans="1:7" ht="27.95" customHeight="1">
      <c r="A129" s="259" t="s">
        <v>242</v>
      </c>
      <c r="B129" s="260"/>
      <c r="C129" s="261"/>
      <c r="D129" s="215">
        <f>D130+D137</f>
        <v>59.675999999999995</v>
      </c>
      <c r="E129" s="215">
        <f>E130+E137</f>
        <v>35.656500000000001</v>
      </c>
      <c r="F129" s="215">
        <f>F130+F137</f>
        <v>219.02690000000001</v>
      </c>
      <c r="G129" s="215">
        <f>G130+G137</f>
        <v>1491.2724399999997</v>
      </c>
    </row>
    <row r="130" spans="1:7">
      <c r="A130" s="216"/>
      <c r="B130" s="217" t="s">
        <v>66</v>
      </c>
      <c r="C130" s="216"/>
      <c r="D130" s="215">
        <f>D131+D132+D133+D134+D135</f>
        <v>35.653599999999997</v>
      </c>
      <c r="E130" s="215">
        <f>E131+E132+E133+E134+E135</f>
        <v>14.3833</v>
      </c>
      <c r="F130" s="215">
        <f>F131+F132+F133+F134+F135</f>
        <v>83.43</v>
      </c>
      <c r="G130" s="215">
        <f>G131+G132+G133+G134+G135</f>
        <v>629.6869999999999</v>
      </c>
    </row>
    <row r="131" spans="1:7" ht="15" customHeight="1">
      <c r="A131" s="218"/>
      <c r="B131" s="219" t="s">
        <v>166</v>
      </c>
      <c r="C131" s="218">
        <v>40</v>
      </c>
      <c r="D131" s="220">
        <v>5.08</v>
      </c>
      <c r="E131" s="220">
        <v>4.5999999999999996</v>
      </c>
      <c r="F131" s="220">
        <v>0.28000000000000003</v>
      </c>
      <c r="G131" s="220">
        <v>63.911999999999999</v>
      </c>
    </row>
    <row r="132" spans="1:7" ht="25.5">
      <c r="A132" s="218" t="s">
        <v>39</v>
      </c>
      <c r="B132" s="241" t="s">
        <v>254</v>
      </c>
      <c r="C132" s="242">
        <v>160</v>
      </c>
      <c r="D132" s="243">
        <f>18.92*1.33+0.06</f>
        <v>25.223600000000001</v>
      </c>
      <c r="E132" s="243">
        <f>7.01*1.33+0.06</f>
        <v>9.3833000000000002</v>
      </c>
      <c r="F132" s="243">
        <f>15*1.33+16.77</f>
        <v>36.72</v>
      </c>
      <c r="G132" s="243">
        <v>344.61</v>
      </c>
    </row>
    <row r="133" spans="1:7">
      <c r="A133" s="218"/>
      <c r="B133" s="219" t="s">
        <v>41</v>
      </c>
      <c r="C133" s="218">
        <v>100</v>
      </c>
      <c r="D133" s="220">
        <v>0.4</v>
      </c>
      <c r="E133" s="220">
        <v>0</v>
      </c>
      <c r="F133" s="220">
        <v>9.8000000000000007</v>
      </c>
      <c r="G133" s="220">
        <v>42.84</v>
      </c>
    </row>
    <row r="134" spans="1:7" ht="16.5" customHeight="1">
      <c r="A134" s="218" t="s">
        <v>42</v>
      </c>
      <c r="B134" s="219" t="s">
        <v>216</v>
      </c>
      <c r="C134" s="218">
        <v>200</v>
      </c>
      <c r="D134" s="220">
        <v>1.1499999999999999</v>
      </c>
      <c r="E134" s="220"/>
      <c r="F134" s="220">
        <v>12.03</v>
      </c>
      <c r="G134" s="220">
        <v>55.4</v>
      </c>
    </row>
    <row r="135" spans="1:7">
      <c r="A135" s="221"/>
      <c r="B135" s="219" t="s">
        <v>11</v>
      </c>
      <c r="C135" s="218">
        <v>50</v>
      </c>
      <c r="D135" s="220">
        <f>3.04*1.25</f>
        <v>3.8</v>
      </c>
      <c r="E135" s="220">
        <f>0.32*1.25</f>
        <v>0.4</v>
      </c>
      <c r="F135" s="220">
        <f>19.68*1.25</f>
        <v>24.6</v>
      </c>
      <c r="G135" s="220">
        <f>98.34*1.25</f>
        <v>122.92500000000001</v>
      </c>
    </row>
    <row r="136" spans="1:7">
      <c r="A136" s="253" t="s">
        <v>244</v>
      </c>
      <c r="B136" s="254"/>
      <c r="C136" s="216">
        <f>SUM(C131:C135)</f>
        <v>550</v>
      </c>
      <c r="D136" s="220"/>
      <c r="E136" s="220"/>
      <c r="F136" s="220"/>
      <c r="G136" s="220"/>
    </row>
    <row r="137" spans="1:7" ht="18.75" customHeight="1">
      <c r="A137" s="218"/>
      <c r="B137" s="240" t="s">
        <v>67</v>
      </c>
      <c r="C137" s="216"/>
      <c r="D137" s="215">
        <f>D138+D139+D140+D141+D142+D143</f>
        <v>24.022399999999998</v>
      </c>
      <c r="E137" s="215">
        <f>E138+E139+E140+E141+E142+E143</f>
        <v>21.273199999999999</v>
      </c>
      <c r="F137" s="215">
        <f>F138+F139+F140+F141+F142+F143</f>
        <v>135.59690000000001</v>
      </c>
      <c r="G137" s="215">
        <f>G138+G139+G140+G141+G142+G143</f>
        <v>861.58543999999995</v>
      </c>
    </row>
    <row r="138" spans="1:7">
      <c r="A138" s="222" t="s">
        <v>187</v>
      </c>
      <c r="B138" s="219" t="s">
        <v>147</v>
      </c>
      <c r="C138" s="218">
        <v>100</v>
      </c>
      <c r="D138" s="220">
        <f>0.74*1.66</f>
        <v>1.2283999999999999</v>
      </c>
      <c r="E138" s="220">
        <f>0.06*1.67</f>
        <v>0.1002</v>
      </c>
      <c r="F138" s="220">
        <f>16.92*1.67</f>
        <v>28.256400000000003</v>
      </c>
      <c r="G138" s="220">
        <f>74.71*1.67</f>
        <v>124.76569999999998</v>
      </c>
    </row>
    <row r="139" spans="1:7" ht="25.5">
      <c r="A139" s="218" t="s">
        <v>124</v>
      </c>
      <c r="B139" s="219" t="s">
        <v>155</v>
      </c>
      <c r="C139" s="218">
        <v>255</v>
      </c>
      <c r="D139" s="220">
        <f>3.96*1.25</f>
        <v>4.95</v>
      </c>
      <c r="E139" s="220">
        <f>4.86*1.25</f>
        <v>6.0750000000000002</v>
      </c>
      <c r="F139" s="220">
        <f>17.01*1.25</f>
        <v>21.262500000000003</v>
      </c>
      <c r="G139" s="220">
        <f>131.81*1.254</f>
        <v>165.28973999999999</v>
      </c>
    </row>
    <row r="140" spans="1:7">
      <c r="A140" s="218" t="s">
        <v>219</v>
      </c>
      <c r="B140" s="219" t="s">
        <v>140</v>
      </c>
      <c r="C140" s="218">
        <v>115</v>
      </c>
      <c r="D140" s="220">
        <v>6.32</v>
      </c>
      <c r="E140" s="220">
        <v>8.7899999999999991</v>
      </c>
      <c r="F140" s="220">
        <v>19.37</v>
      </c>
      <c r="G140" s="220">
        <v>187.01</v>
      </c>
    </row>
    <row r="141" spans="1:7">
      <c r="A141" s="221" t="s">
        <v>38</v>
      </c>
      <c r="B141" s="219" t="s">
        <v>36</v>
      </c>
      <c r="C141" s="218">
        <v>180</v>
      </c>
      <c r="D141" s="220">
        <f>8.77*1.2</f>
        <v>10.523999999999999</v>
      </c>
      <c r="E141" s="220">
        <f>5.19*1.2</f>
        <v>6.2280000000000006</v>
      </c>
      <c r="F141" s="220">
        <f>39.6*1.23</f>
        <v>48.707999999999998</v>
      </c>
      <c r="G141" s="220">
        <v>304</v>
      </c>
    </row>
    <row r="142" spans="1:7">
      <c r="A142" s="218" t="s">
        <v>176</v>
      </c>
      <c r="B142" s="219" t="s">
        <v>10</v>
      </c>
      <c r="C142" s="218">
        <v>200</v>
      </c>
      <c r="D142" s="220">
        <v>0</v>
      </c>
      <c r="E142" s="220">
        <v>0</v>
      </c>
      <c r="F142" s="220">
        <v>10</v>
      </c>
      <c r="G142" s="220">
        <v>42</v>
      </c>
    </row>
    <row r="143" spans="1:7" ht="12" customHeight="1">
      <c r="A143" s="222"/>
      <c r="B143" s="219" t="s">
        <v>37</v>
      </c>
      <c r="C143" s="218">
        <v>20</v>
      </c>
      <c r="D143" s="220">
        <v>1</v>
      </c>
      <c r="E143" s="220">
        <v>0.08</v>
      </c>
      <c r="F143" s="220">
        <v>8</v>
      </c>
      <c r="G143" s="220">
        <v>38.520000000000003</v>
      </c>
    </row>
    <row r="144" spans="1:7">
      <c r="A144" s="253" t="s">
        <v>244</v>
      </c>
      <c r="B144" s="254"/>
      <c r="C144" s="216">
        <f>SUM(C138:C143)</f>
        <v>870</v>
      </c>
      <c r="D144" s="220"/>
      <c r="E144" s="220"/>
      <c r="F144" s="220"/>
      <c r="G144" s="220"/>
    </row>
    <row r="145" spans="1:26" ht="27.95" customHeight="1">
      <c r="A145" s="259" t="s">
        <v>243</v>
      </c>
      <c r="B145" s="260"/>
      <c r="C145" s="261"/>
      <c r="D145" s="215">
        <f>D146+D153</f>
        <v>50.881499999999996</v>
      </c>
      <c r="E145" s="215">
        <f>E146+E153</f>
        <v>52.664999999999999</v>
      </c>
      <c r="F145" s="215">
        <f>F146+F153</f>
        <v>190.51076</v>
      </c>
      <c r="G145" s="215">
        <f>G146+G153</f>
        <v>1488.5909999999999</v>
      </c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200"/>
    </row>
    <row r="146" spans="1:26">
      <c r="A146" s="216"/>
      <c r="B146" s="217" t="s">
        <v>66</v>
      </c>
      <c r="C146" s="216"/>
      <c r="D146" s="215">
        <f>D147+D148+D149+D150+D151</f>
        <v>26.381999999999998</v>
      </c>
      <c r="E146" s="215">
        <f>E147+E148+E149+E150+E151</f>
        <v>13.664000000000001</v>
      </c>
      <c r="F146" s="215">
        <f>F147+F148+F149+F150+F151</f>
        <v>87.740000000000009</v>
      </c>
      <c r="G146" s="215">
        <f>G147+G148+G149+G150+G151</f>
        <v>603.101</v>
      </c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200"/>
    </row>
    <row r="147" spans="1:26">
      <c r="A147" s="218" t="s">
        <v>225</v>
      </c>
      <c r="B147" s="219" t="s">
        <v>168</v>
      </c>
      <c r="C147" s="218">
        <v>100</v>
      </c>
      <c r="D147" s="220">
        <v>17.829999999999998</v>
      </c>
      <c r="E147" s="220">
        <v>7.99</v>
      </c>
      <c r="F147" s="220">
        <v>4.25</v>
      </c>
      <c r="G147" s="220">
        <v>165</v>
      </c>
      <c r="H147" s="195"/>
      <c r="I147" s="195"/>
      <c r="J147" s="195"/>
      <c r="K147" s="195"/>
      <c r="L147" s="195"/>
      <c r="M147" s="195"/>
      <c r="N147" s="195"/>
      <c r="O147" s="183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</row>
    <row r="148" spans="1:26">
      <c r="A148" s="221" t="s">
        <v>183</v>
      </c>
      <c r="B148" s="219" t="s">
        <v>157</v>
      </c>
      <c r="C148" s="218">
        <v>180</v>
      </c>
      <c r="D148" s="220">
        <f>3.81*1.2</f>
        <v>4.5720000000000001</v>
      </c>
      <c r="E148" s="220">
        <f>2.72*1.2</f>
        <v>3.2640000000000002</v>
      </c>
      <c r="F148" s="220">
        <f>40*1.2</f>
        <v>48</v>
      </c>
      <c r="G148" s="220">
        <f>208.48*1.2</f>
        <v>250.17599999999999</v>
      </c>
      <c r="H148" s="195"/>
      <c r="I148" s="195"/>
      <c r="J148" s="195"/>
      <c r="K148" s="195"/>
      <c r="L148" s="195"/>
      <c r="M148" s="183"/>
      <c r="N148" s="183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</row>
    <row r="149" spans="1:26">
      <c r="A149" s="222" t="s">
        <v>185</v>
      </c>
      <c r="B149" s="219" t="s">
        <v>169</v>
      </c>
      <c r="C149" s="218">
        <v>20</v>
      </c>
      <c r="D149" s="220">
        <v>0.18</v>
      </c>
      <c r="E149" s="220">
        <v>2.0099999999999998</v>
      </c>
      <c r="F149" s="220">
        <v>0.89</v>
      </c>
      <c r="G149" s="220">
        <v>23</v>
      </c>
      <c r="H149" s="195"/>
      <c r="I149" s="183"/>
      <c r="J149" s="195"/>
      <c r="K149" s="195"/>
      <c r="L149" s="195"/>
      <c r="M149" s="195"/>
      <c r="N149" s="195"/>
      <c r="O149" s="183"/>
      <c r="P149" s="183"/>
      <c r="Q149" s="183"/>
      <c r="R149" s="183"/>
      <c r="S149" s="183"/>
      <c r="T149" s="183"/>
      <c r="U149" s="183"/>
      <c r="V149" s="195"/>
      <c r="W149" s="183"/>
      <c r="X149" s="183"/>
      <c r="Y149" s="195"/>
    </row>
    <row r="150" spans="1:26">
      <c r="A150" s="218" t="s">
        <v>176</v>
      </c>
      <c r="B150" s="219" t="s">
        <v>10</v>
      </c>
      <c r="C150" s="222">
        <v>200</v>
      </c>
      <c r="D150" s="220">
        <v>0</v>
      </c>
      <c r="E150" s="220">
        <v>0</v>
      </c>
      <c r="F150" s="220">
        <v>10</v>
      </c>
      <c r="G150" s="220">
        <v>42</v>
      </c>
      <c r="H150" s="195"/>
      <c r="I150" s="183"/>
      <c r="J150" s="195"/>
      <c r="K150" s="195"/>
      <c r="L150" s="195"/>
      <c r="M150" s="195"/>
      <c r="N150" s="195"/>
      <c r="O150" s="183"/>
      <c r="P150" s="183"/>
      <c r="Q150" s="183"/>
      <c r="R150" s="183"/>
      <c r="S150" s="183"/>
      <c r="T150" s="183"/>
      <c r="U150" s="183"/>
      <c r="V150" s="195"/>
      <c r="W150" s="183"/>
      <c r="X150" s="183"/>
      <c r="Y150" s="195"/>
    </row>
    <row r="151" spans="1:26">
      <c r="A151" s="221"/>
      <c r="B151" s="219" t="s">
        <v>11</v>
      </c>
      <c r="C151" s="218">
        <v>50</v>
      </c>
      <c r="D151" s="220">
        <f>3.04*1.25</f>
        <v>3.8</v>
      </c>
      <c r="E151" s="220">
        <f>0.32*1.25</f>
        <v>0.4</v>
      </c>
      <c r="F151" s="220">
        <f>19.68*1.25</f>
        <v>24.6</v>
      </c>
      <c r="G151" s="220">
        <f>98.34*1.25</f>
        <v>122.92500000000001</v>
      </c>
      <c r="H151" s="195"/>
      <c r="I151" s="196"/>
      <c r="J151" s="195"/>
      <c r="K151" s="195"/>
      <c r="L151" s="196"/>
      <c r="M151" s="183"/>
      <c r="N151" s="183"/>
      <c r="O151" s="183"/>
      <c r="P151" s="183"/>
      <c r="Q151" s="183"/>
      <c r="R151" s="183"/>
      <c r="S151" s="183"/>
      <c r="T151" s="183"/>
      <c r="U151" s="183"/>
      <c r="V151" s="195"/>
      <c r="W151" s="183"/>
      <c r="X151" s="183"/>
      <c r="Y151" s="196"/>
    </row>
    <row r="152" spans="1:26">
      <c r="A152" s="253" t="s">
        <v>244</v>
      </c>
      <c r="B152" s="254"/>
      <c r="C152" s="228">
        <f>SUM(C147:C151)</f>
        <v>550</v>
      </c>
      <c r="D152" s="220"/>
      <c r="E152" s="220"/>
      <c r="F152" s="220"/>
      <c r="G152" s="220"/>
      <c r="H152" s="201"/>
      <c r="I152" s="202"/>
      <c r="J152" s="201"/>
      <c r="K152" s="201"/>
      <c r="L152" s="201"/>
      <c r="M152" s="203"/>
      <c r="N152" s="203"/>
      <c r="O152" s="202"/>
      <c r="P152" s="202"/>
      <c r="Q152" s="202"/>
      <c r="R152" s="202"/>
      <c r="S152" s="202"/>
      <c r="T152" s="202"/>
      <c r="U152" s="202"/>
      <c r="V152" s="203"/>
      <c r="W152" s="202"/>
      <c r="X152" s="202"/>
      <c r="Y152" s="203"/>
    </row>
    <row r="153" spans="1:26">
      <c r="A153" s="218"/>
      <c r="B153" s="240" t="s">
        <v>67</v>
      </c>
      <c r="C153" s="216"/>
      <c r="D153" s="215">
        <f>D154+D155+D156+D157+D158+D159</f>
        <v>24.499499999999998</v>
      </c>
      <c r="E153" s="215">
        <f>E154+E155+E156+E157+E158+E159</f>
        <v>39.000999999999998</v>
      </c>
      <c r="F153" s="215">
        <f>F154+F155+F156+F157+F158+F159</f>
        <v>102.77076000000001</v>
      </c>
      <c r="G153" s="215">
        <f>G154+G155+G156+G157+G158+G159</f>
        <v>885.49</v>
      </c>
      <c r="H153" s="201"/>
      <c r="I153" s="202"/>
      <c r="J153" s="201"/>
      <c r="K153" s="201"/>
      <c r="L153" s="201"/>
      <c r="M153" s="203"/>
      <c r="N153" s="203"/>
      <c r="O153" s="202"/>
      <c r="P153" s="202"/>
      <c r="Q153" s="202"/>
      <c r="R153" s="202"/>
      <c r="S153" s="202"/>
      <c r="T153" s="202"/>
      <c r="U153" s="202"/>
      <c r="V153" s="203"/>
      <c r="W153" s="202"/>
      <c r="X153" s="202"/>
      <c r="Y153" s="203"/>
    </row>
    <row r="154" spans="1:26">
      <c r="A154" s="218" t="s">
        <v>142</v>
      </c>
      <c r="B154" s="219" t="s">
        <v>143</v>
      </c>
      <c r="C154" s="218">
        <v>100</v>
      </c>
      <c r="D154" s="220">
        <f>0.9*1.67</f>
        <v>1.5029999999999999</v>
      </c>
      <c r="E154" s="220">
        <v>0.06</v>
      </c>
      <c r="F154" s="220">
        <f>8.28*1.667</f>
        <v>13.802759999999999</v>
      </c>
      <c r="G154" s="220">
        <v>64.28</v>
      </c>
      <c r="H154" s="201"/>
      <c r="I154" s="202"/>
      <c r="J154" s="201"/>
      <c r="K154" s="201"/>
      <c r="L154" s="201"/>
      <c r="M154" s="203"/>
      <c r="N154" s="203"/>
      <c r="O154" s="202"/>
      <c r="P154" s="202"/>
      <c r="Q154" s="202"/>
      <c r="R154" s="202"/>
      <c r="S154" s="202"/>
      <c r="T154" s="202"/>
      <c r="U154" s="202"/>
      <c r="V154" s="203"/>
      <c r="W154" s="202"/>
      <c r="X154" s="202"/>
      <c r="Y154" s="203"/>
    </row>
    <row r="155" spans="1:26" ht="25.5">
      <c r="A155" s="221" t="s">
        <v>101</v>
      </c>
      <c r="B155" s="219" t="s">
        <v>170</v>
      </c>
      <c r="C155" s="218">
        <v>255</v>
      </c>
      <c r="D155" s="220">
        <f>5.81*1.25</f>
        <v>7.2624999999999993</v>
      </c>
      <c r="E155" s="220">
        <f>11.82*1.25</f>
        <v>14.775</v>
      </c>
      <c r="F155" s="220">
        <f>15.48*1.25</f>
        <v>19.350000000000001</v>
      </c>
      <c r="G155" s="220">
        <f>196*1.25</f>
        <v>245</v>
      </c>
      <c r="H155" s="201"/>
      <c r="I155" s="202"/>
      <c r="J155" s="201"/>
      <c r="K155" s="201"/>
      <c r="L155" s="201"/>
      <c r="M155" s="203"/>
      <c r="N155" s="203"/>
      <c r="O155" s="202"/>
      <c r="P155" s="202"/>
      <c r="Q155" s="202"/>
      <c r="R155" s="202"/>
      <c r="S155" s="202"/>
      <c r="T155" s="202"/>
      <c r="U155" s="202"/>
      <c r="V155" s="203"/>
      <c r="W155" s="202"/>
      <c r="X155" s="202"/>
      <c r="Y155" s="203"/>
    </row>
    <row r="156" spans="1:26">
      <c r="A156" s="218" t="s">
        <v>221</v>
      </c>
      <c r="B156" s="219" t="s">
        <v>150</v>
      </c>
      <c r="C156" s="218">
        <v>105</v>
      </c>
      <c r="D156" s="220">
        <v>6.14</v>
      </c>
      <c r="E156" s="220">
        <v>11.91</v>
      </c>
      <c r="F156" s="220">
        <v>10.92</v>
      </c>
      <c r="G156" s="220">
        <v>178.84</v>
      </c>
      <c r="H156" s="201"/>
      <c r="I156" s="202"/>
      <c r="J156" s="201"/>
      <c r="K156" s="201"/>
      <c r="L156" s="201"/>
      <c r="M156" s="203"/>
      <c r="N156" s="203"/>
      <c r="O156" s="202"/>
      <c r="P156" s="202"/>
      <c r="Q156" s="202"/>
      <c r="R156" s="202"/>
      <c r="S156" s="202"/>
      <c r="T156" s="202"/>
      <c r="U156" s="202"/>
      <c r="V156" s="203"/>
      <c r="W156" s="202"/>
      <c r="X156" s="202"/>
      <c r="Y156" s="203"/>
    </row>
    <row r="157" spans="1:26">
      <c r="A157" s="218" t="s">
        <v>132</v>
      </c>
      <c r="B157" s="219" t="s">
        <v>133</v>
      </c>
      <c r="C157" s="218">
        <v>180</v>
      </c>
      <c r="D157" s="220">
        <f>5.77*1.2</f>
        <v>6.9239999999999995</v>
      </c>
      <c r="E157" s="220">
        <f>10.08*1.2</f>
        <v>12.096</v>
      </c>
      <c r="F157" s="220">
        <f>30.69*1.2</f>
        <v>36.828000000000003</v>
      </c>
      <c r="G157" s="220">
        <f>244*1.2</f>
        <v>292.8</v>
      </c>
      <c r="H157" s="201"/>
      <c r="I157" s="202"/>
      <c r="J157" s="201"/>
      <c r="K157" s="201"/>
      <c r="L157" s="201"/>
      <c r="M157" s="203"/>
      <c r="N157" s="203"/>
      <c r="O157" s="202"/>
      <c r="P157" s="202"/>
      <c r="Q157" s="202"/>
      <c r="R157" s="202"/>
      <c r="S157" s="202"/>
      <c r="T157" s="202"/>
      <c r="U157" s="202"/>
      <c r="V157" s="203"/>
      <c r="W157" s="202"/>
      <c r="X157" s="202"/>
      <c r="Y157" s="203"/>
    </row>
    <row r="158" spans="1:26">
      <c r="A158" s="221" t="s">
        <v>42</v>
      </c>
      <c r="B158" s="219" t="s">
        <v>216</v>
      </c>
      <c r="C158" s="218">
        <v>200</v>
      </c>
      <c r="D158" s="220">
        <v>1.1499999999999999</v>
      </c>
      <c r="E158" s="220"/>
      <c r="F158" s="220">
        <v>12.03</v>
      </c>
      <c r="G158" s="220">
        <v>55.4</v>
      </c>
      <c r="H158" s="201"/>
      <c r="I158" s="202"/>
      <c r="J158" s="201"/>
      <c r="K158" s="201"/>
      <c r="L158" s="201"/>
      <c r="M158" s="203"/>
      <c r="N158" s="203"/>
      <c r="O158" s="202"/>
      <c r="P158" s="202"/>
      <c r="Q158" s="202"/>
      <c r="R158" s="202"/>
      <c r="S158" s="202"/>
      <c r="T158" s="202"/>
      <c r="U158" s="202"/>
      <c r="V158" s="203"/>
      <c r="W158" s="202"/>
      <c r="X158" s="202"/>
      <c r="Y158" s="203"/>
    </row>
    <row r="159" spans="1:26">
      <c r="A159" s="222"/>
      <c r="B159" s="219" t="s">
        <v>11</v>
      </c>
      <c r="C159" s="218">
        <v>20</v>
      </c>
      <c r="D159" s="220">
        <v>1.52</v>
      </c>
      <c r="E159" s="220">
        <v>0.16</v>
      </c>
      <c r="F159" s="220">
        <v>9.84</v>
      </c>
      <c r="G159" s="220">
        <v>49.17</v>
      </c>
      <c r="H159" s="201"/>
      <c r="I159" s="202"/>
      <c r="J159" s="201"/>
      <c r="K159" s="201"/>
      <c r="L159" s="201"/>
      <c r="M159" s="203"/>
      <c r="N159" s="203"/>
      <c r="O159" s="202"/>
      <c r="P159" s="202"/>
      <c r="Q159" s="202"/>
      <c r="R159" s="202"/>
      <c r="S159" s="202"/>
      <c r="T159" s="202"/>
      <c r="U159" s="202"/>
      <c r="V159" s="203"/>
      <c r="W159" s="202"/>
      <c r="X159" s="202"/>
      <c r="Y159" s="203"/>
    </row>
    <row r="160" spans="1:26">
      <c r="A160" s="253" t="s">
        <v>244</v>
      </c>
      <c r="B160" s="254"/>
      <c r="C160" s="216">
        <f>SUM(C154:C159)</f>
        <v>860</v>
      </c>
      <c r="D160" s="218"/>
      <c r="E160" s="218"/>
      <c r="F160" s="218"/>
      <c r="G160" s="218"/>
      <c r="H160" s="201"/>
      <c r="I160" s="202"/>
      <c r="J160" s="201"/>
      <c r="K160" s="201"/>
      <c r="L160" s="201"/>
      <c r="M160" s="203"/>
      <c r="N160" s="203"/>
      <c r="O160" s="202"/>
      <c r="P160" s="202"/>
      <c r="Q160" s="202"/>
      <c r="R160" s="202"/>
      <c r="S160" s="202"/>
      <c r="T160" s="202"/>
      <c r="U160" s="202"/>
      <c r="V160" s="203"/>
      <c r="W160" s="202"/>
      <c r="X160" s="202"/>
      <c r="Y160" s="203"/>
    </row>
    <row r="161" spans="1:7">
      <c r="A161" s="259" t="s">
        <v>255</v>
      </c>
      <c r="B161" s="260"/>
      <c r="C161" s="261"/>
      <c r="D161" s="215">
        <f>D162+D170</f>
        <v>50.442700000000002</v>
      </c>
      <c r="E161" s="215">
        <f>E162+E170</f>
        <v>56.47999999999999</v>
      </c>
      <c r="F161" s="215">
        <f>F162+F170</f>
        <v>232.71510000000001</v>
      </c>
      <c r="G161" s="215">
        <f>G162+G170</f>
        <v>1695.3</v>
      </c>
    </row>
    <row r="162" spans="1:7">
      <c r="A162" s="216"/>
      <c r="B162" s="217" t="s">
        <v>66</v>
      </c>
      <c r="C162" s="216"/>
      <c r="D162" s="215">
        <f>D163+D164+D165+D166+D167+D168</f>
        <v>18.21</v>
      </c>
      <c r="E162" s="215">
        <f>E163+E164+E165+E166+E167+E168</f>
        <v>19.13</v>
      </c>
      <c r="F162" s="215">
        <f>F163+F164+F165+F166+F167+F168</f>
        <v>102.99000000000001</v>
      </c>
      <c r="G162" s="215">
        <f>G163+G164+G165+G166+G167+G168</f>
        <v>682.25</v>
      </c>
    </row>
    <row r="163" spans="1:7">
      <c r="A163" s="218" t="s">
        <v>175</v>
      </c>
      <c r="B163" s="219" t="s">
        <v>35</v>
      </c>
      <c r="C163" s="218">
        <v>10</v>
      </c>
      <c r="D163" s="220">
        <v>2.6</v>
      </c>
      <c r="E163" s="220">
        <v>2.65</v>
      </c>
      <c r="F163" s="220">
        <v>0.35</v>
      </c>
      <c r="G163" s="220">
        <v>36.24</v>
      </c>
    </row>
    <row r="164" spans="1:7">
      <c r="A164" s="218" t="s">
        <v>173</v>
      </c>
      <c r="B164" s="219" t="s">
        <v>136</v>
      </c>
      <c r="C164" s="218">
        <v>5</v>
      </c>
      <c r="D164" s="220">
        <v>0.05</v>
      </c>
      <c r="E164" s="220">
        <v>3.63</v>
      </c>
      <c r="F164" s="220">
        <v>7.0000000000000007E-2</v>
      </c>
      <c r="G164" s="220">
        <v>33.11</v>
      </c>
    </row>
    <row r="165" spans="1:7" ht="25.5">
      <c r="A165" s="218" t="s">
        <v>174</v>
      </c>
      <c r="B165" s="219" t="s">
        <v>201</v>
      </c>
      <c r="C165" s="218">
        <v>255</v>
      </c>
      <c r="D165" s="220">
        <v>9.52</v>
      </c>
      <c r="E165" s="220">
        <v>7.81</v>
      </c>
      <c r="F165" s="220">
        <v>42.93</v>
      </c>
      <c r="G165" s="220">
        <v>290.56</v>
      </c>
    </row>
    <row r="166" spans="1:7">
      <c r="A166" s="221"/>
      <c r="B166" s="219" t="s">
        <v>62</v>
      </c>
      <c r="C166" s="218">
        <v>40</v>
      </c>
      <c r="D166" s="220">
        <v>3</v>
      </c>
      <c r="E166" s="220">
        <v>4.72</v>
      </c>
      <c r="F166" s="220">
        <v>29.96</v>
      </c>
      <c r="G166" s="220">
        <v>182</v>
      </c>
    </row>
    <row r="167" spans="1:7">
      <c r="A167" s="218" t="s">
        <v>176</v>
      </c>
      <c r="B167" s="219" t="s">
        <v>10</v>
      </c>
      <c r="C167" s="222">
        <v>200</v>
      </c>
      <c r="D167" s="220">
        <v>0</v>
      </c>
      <c r="E167" s="220">
        <v>0</v>
      </c>
      <c r="F167" s="220">
        <v>10</v>
      </c>
      <c r="G167" s="220">
        <v>42</v>
      </c>
    </row>
    <row r="168" spans="1:7">
      <c r="A168" s="218"/>
      <c r="B168" s="219" t="s">
        <v>11</v>
      </c>
      <c r="C168" s="218">
        <v>40</v>
      </c>
      <c r="D168" s="220">
        <v>3.04</v>
      </c>
      <c r="E168" s="220">
        <v>0.32</v>
      </c>
      <c r="F168" s="220">
        <v>19.68</v>
      </c>
      <c r="G168" s="220">
        <v>98.34</v>
      </c>
    </row>
    <row r="169" spans="1:7">
      <c r="A169" s="253" t="s">
        <v>244</v>
      </c>
      <c r="B169" s="254"/>
      <c r="C169" s="223">
        <v>550</v>
      </c>
      <c r="D169" s="224"/>
      <c r="E169" s="224"/>
      <c r="F169" s="224"/>
      <c r="G169" s="224"/>
    </row>
    <row r="170" spans="1:7">
      <c r="A170" s="221"/>
      <c r="B170" s="240" t="s">
        <v>67</v>
      </c>
      <c r="C170" s="223"/>
      <c r="D170" s="229">
        <f>D171+D172+D173+D174+D175+D176</f>
        <v>32.232700000000001</v>
      </c>
      <c r="E170" s="229">
        <f>E171+E172+E173+E174+E175+E176</f>
        <v>37.349999999999994</v>
      </c>
      <c r="F170" s="229">
        <f>F171+F172+F173+F174+F175+F176</f>
        <v>129.7251</v>
      </c>
      <c r="G170" s="229">
        <f>G171+G172+G173+G174+G175+G176</f>
        <v>1013.05</v>
      </c>
    </row>
    <row r="171" spans="1:7">
      <c r="A171" s="218" t="s">
        <v>82</v>
      </c>
      <c r="B171" s="219" t="s">
        <v>83</v>
      </c>
      <c r="C171" s="218">
        <v>100</v>
      </c>
      <c r="D171" s="220">
        <f>1.21*1.67</f>
        <v>2.0206999999999997</v>
      </c>
      <c r="E171" s="220">
        <f>6.2*1.67</f>
        <v>10.353999999999999</v>
      </c>
      <c r="F171" s="220">
        <f>12.33*1.67</f>
        <v>20.591100000000001</v>
      </c>
      <c r="G171" s="220">
        <f>113*1.67</f>
        <v>188.70999999999998</v>
      </c>
    </row>
    <row r="172" spans="1:7">
      <c r="A172" s="218" t="s">
        <v>279</v>
      </c>
      <c r="B172" s="225" t="s">
        <v>278</v>
      </c>
      <c r="C172" s="218">
        <v>255</v>
      </c>
      <c r="D172" s="220">
        <v>2.4500000000000002</v>
      </c>
      <c r="E172" s="220">
        <v>5.56</v>
      </c>
      <c r="F172" s="220">
        <v>17.149999999999999</v>
      </c>
      <c r="G172" s="220">
        <v>128.41</v>
      </c>
    </row>
    <row r="173" spans="1:7">
      <c r="A173" s="218" t="s">
        <v>220</v>
      </c>
      <c r="B173" s="225" t="s">
        <v>153</v>
      </c>
      <c r="C173" s="218">
        <v>110</v>
      </c>
      <c r="D173" s="220">
        <v>5.73</v>
      </c>
      <c r="E173" s="220">
        <v>16.34</v>
      </c>
      <c r="F173" s="220">
        <v>10.38</v>
      </c>
      <c r="G173" s="220">
        <v>215</v>
      </c>
    </row>
    <row r="174" spans="1:7">
      <c r="A174" s="221" t="s">
        <v>134</v>
      </c>
      <c r="B174" s="219" t="s">
        <v>154</v>
      </c>
      <c r="C174" s="218">
        <v>180</v>
      </c>
      <c r="D174" s="220">
        <f>16.26*1.2</f>
        <v>19.512</v>
      </c>
      <c r="E174" s="220">
        <f>4.03*1.2</f>
        <v>4.8360000000000003</v>
      </c>
      <c r="F174" s="220">
        <f>33.97*1.2</f>
        <v>40.763999999999996</v>
      </c>
      <c r="G174" s="220">
        <f>247.3*1.2</f>
        <v>296.76</v>
      </c>
    </row>
    <row r="175" spans="1:7" ht="25.5">
      <c r="A175" s="218" t="s">
        <v>42</v>
      </c>
      <c r="B175" s="219" t="s">
        <v>217</v>
      </c>
      <c r="C175" s="218">
        <v>200</v>
      </c>
      <c r="D175" s="220">
        <v>1</v>
      </c>
      <c r="E175" s="220">
        <v>0.1</v>
      </c>
      <c r="F175" s="220">
        <v>31</v>
      </c>
      <c r="G175" s="220">
        <v>135</v>
      </c>
    </row>
    <row r="176" spans="1:7">
      <c r="A176" s="222"/>
      <c r="B176" s="219" t="s">
        <v>11</v>
      </c>
      <c r="C176" s="218">
        <v>20</v>
      </c>
      <c r="D176" s="220">
        <v>1.52</v>
      </c>
      <c r="E176" s="220">
        <v>0.16</v>
      </c>
      <c r="F176" s="220">
        <v>9.84</v>
      </c>
      <c r="G176" s="220">
        <v>49.17</v>
      </c>
    </row>
    <row r="177" spans="1:7">
      <c r="A177" s="253" t="s">
        <v>244</v>
      </c>
      <c r="B177" s="254"/>
      <c r="C177" s="223">
        <v>865</v>
      </c>
      <c r="D177" s="224"/>
      <c r="E177" s="224"/>
      <c r="F177" s="224"/>
      <c r="G177" s="224"/>
    </row>
    <row r="178" spans="1:7">
      <c r="A178" s="259" t="s">
        <v>256</v>
      </c>
      <c r="B178" s="260"/>
      <c r="C178" s="261"/>
      <c r="D178" s="215">
        <f>D179+D185</f>
        <v>53.6205</v>
      </c>
      <c r="E178" s="215">
        <f>E179+E185</f>
        <v>74.765499999999989</v>
      </c>
      <c r="F178" s="215">
        <f>F179+F185</f>
        <v>208.42750000000001</v>
      </c>
      <c r="G178" s="215">
        <f>G179+G185</f>
        <v>1766.8100000000004</v>
      </c>
    </row>
    <row r="179" spans="1:7">
      <c r="A179" s="216"/>
      <c r="B179" s="217" t="s">
        <v>66</v>
      </c>
      <c r="C179" s="216"/>
      <c r="D179" s="215">
        <f>D180+D181+D182+D183</f>
        <v>19.292499999999997</v>
      </c>
      <c r="E179" s="215">
        <f>E180+E181+E182+E183</f>
        <v>14.7875</v>
      </c>
      <c r="F179" s="215">
        <f>F180+F181+F182+F183</f>
        <v>125.0575</v>
      </c>
      <c r="G179" s="215">
        <f>G180+G181+G182+G183</f>
        <v>741.28000000000009</v>
      </c>
    </row>
    <row r="180" spans="1:7" ht="25.5">
      <c r="A180" s="218" t="s">
        <v>174</v>
      </c>
      <c r="B180" s="219" t="s">
        <v>199</v>
      </c>
      <c r="C180" s="218">
        <v>253</v>
      </c>
      <c r="D180" s="220">
        <f>7.81*1.25</f>
        <v>9.7624999999999993</v>
      </c>
      <c r="E180" s="220">
        <f>4.55*1.25</f>
        <v>5.6875</v>
      </c>
      <c r="F180" s="220">
        <f>33.47*1.25</f>
        <v>41.837499999999999</v>
      </c>
      <c r="G180" s="220">
        <v>267.91000000000003</v>
      </c>
    </row>
    <row r="181" spans="1:7">
      <c r="A181" s="221"/>
      <c r="B181" s="219" t="s">
        <v>62</v>
      </c>
      <c r="C181" s="218">
        <v>60</v>
      </c>
      <c r="D181" s="220">
        <f>1.5*3</f>
        <v>4.5</v>
      </c>
      <c r="E181" s="220">
        <f>2.36*3</f>
        <v>7.08</v>
      </c>
      <c r="F181" s="220">
        <f>14.98*3</f>
        <v>44.94</v>
      </c>
      <c r="G181" s="220">
        <f>91*3</f>
        <v>273</v>
      </c>
    </row>
    <row r="182" spans="1:7">
      <c r="A182" s="218" t="s">
        <v>177</v>
      </c>
      <c r="B182" s="219" t="s">
        <v>51</v>
      </c>
      <c r="C182" s="218">
        <v>200</v>
      </c>
      <c r="D182" s="220">
        <v>1.99</v>
      </c>
      <c r="E182" s="220">
        <v>1.7</v>
      </c>
      <c r="F182" s="220">
        <v>18.600000000000001</v>
      </c>
      <c r="G182" s="220">
        <v>102.03</v>
      </c>
    </row>
    <row r="183" spans="1:7">
      <c r="A183" s="218"/>
      <c r="B183" s="219" t="s">
        <v>11</v>
      </c>
      <c r="C183" s="218">
        <v>40</v>
      </c>
      <c r="D183" s="220">
        <v>3.04</v>
      </c>
      <c r="E183" s="220">
        <v>0.32</v>
      </c>
      <c r="F183" s="220">
        <v>19.68</v>
      </c>
      <c r="G183" s="220">
        <v>98.34</v>
      </c>
    </row>
    <row r="184" spans="1:7">
      <c r="A184" s="253" t="s">
        <v>244</v>
      </c>
      <c r="B184" s="254"/>
      <c r="C184" s="216">
        <f>SUM(C180:C183)</f>
        <v>553</v>
      </c>
      <c r="D184" s="220"/>
      <c r="E184" s="220"/>
      <c r="F184" s="220"/>
      <c r="G184" s="220"/>
    </row>
    <row r="185" spans="1:7">
      <c r="A185" s="218"/>
      <c r="B185" s="240" t="s">
        <v>67</v>
      </c>
      <c r="C185" s="216"/>
      <c r="D185" s="215">
        <f>D186+D187+D188+D189+D190+D191</f>
        <v>34.328000000000003</v>
      </c>
      <c r="E185" s="215">
        <f>E186+E187+E188+E189+E190+E191</f>
        <v>59.977999999999994</v>
      </c>
      <c r="F185" s="215">
        <f>F186+F187+F188+F189+F190+F191</f>
        <v>83.37</v>
      </c>
      <c r="G185" s="215">
        <f>G186+G187+G188+G189+G190+G191</f>
        <v>1025.5300000000002</v>
      </c>
    </row>
    <row r="186" spans="1:7">
      <c r="A186" s="218" t="s">
        <v>281</v>
      </c>
      <c r="B186" s="219" t="s">
        <v>280</v>
      </c>
      <c r="C186" s="218">
        <v>100</v>
      </c>
      <c r="D186" s="231">
        <v>0.8</v>
      </c>
      <c r="E186" s="220">
        <v>0</v>
      </c>
      <c r="F186" s="220">
        <v>1.7</v>
      </c>
      <c r="G186" s="220">
        <v>10</v>
      </c>
    </row>
    <row r="187" spans="1:7" ht="25.5">
      <c r="A187" s="218" t="s">
        <v>284</v>
      </c>
      <c r="B187" s="225" t="s">
        <v>285</v>
      </c>
      <c r="C187" s="218">
        <v>260</v>
      </c>
      <c r="D187" s="220">
        <v>16.25</v>
      </c>
      <c r="E187" s="220">
        <v>22.5</v>
      </c>
      <c r="F187" s="220">
        <v>15.34</v>
      </c>
      <c r="G187" s="220">
        <v>328.85</v>
      </c>
    </row>
    <row r="188" spans="1:7">
      <c r="A188" s="221" t="s">
        <v>43</v>
      </c>
      <c r="B188" s="219" t="s">
        <v>286</v>
      </c>
      <c r="C188" s="218">
        <v>100</v>
      </c>
      <c r="D188" s="220">
        <v>8.99</v>
      </c>
      <c r="E188" s="220">
        <v>33.909999999999997</v>
      </c>
      <c r="F188" s="220">
        <v>3.29</v>
      </c>
      <c r="G188" s="220">
        <v>354.31</v>
      </c>
    </row>
    <row r="189" spans="1:7">
      <c r="A189" s="218" t="s">
        <v>33</v>
      </c>
      <c r="B189" s="219" t="s">
        <v>12</v>
      </c>
      <c r="C189" s="218">
        <v>180</v>
      </c>
      <c r="D189" s="220">
        <f>5.64*1.2</f>
        <v>6.7679999999999998</v>
      </c>
      <c r="E189" s="220">
        <f>2.84*1.2</f>
        <v>3.4079999999999999</v>
      </c>
      <c r="F189" s="220">
        <f>36*1.2</f>
        <v>43.199999999999996</v>
      </c>
      <c r="G189" s="220">
        <f>201*1.2</f>
        <v>241.2</v>
      </c>
    </row>
    <row r="190" spans="1:7">
      <c r="A190" s="218" t="s">
        <v>176</v>
      </c>
      <c r="B190" s="219" t="s">
        <v>10</v>
      </c>
      <c r="C190" s="222">
        <v>200</v>
      </c>
      <c r="D190" s="220">
        <v>0</v>
      </c>
      <c r="E190" s="220">
        <v>0</v>
      </c>
      <c r="F190" s="220">
        <v>10</v>
      </c>
      <c r="G190" s="220">
        <v>42</v>
      </c>
    </row>
    <row r="191" spans="1:7">
      <c r="A191" s="222"/>
      <c r="B191" s="219" t="s">
        <v>11</v>
      </c>
      <c r="C191" s="218">
        <v>20</v>
      </c>
      <c r="D191" s="220">
        <v>1.52</v>
      </c>
      <c r="E191" s="220">
        <v>0.16</v>
      </c>
      <c r="F191" s="220">
        <v>9.84</v>
      </c>
      <c r="G191" s="220">
        <v>49.17</v>
      </c>
    </row>
    <row r="192" spans="1:7">
      <c r="A192" s="253" t="s">
        <v>244</v>
      </c>
      <c r="B192" s="254"/>
      <c r="C192" s="216">
        <f>SUM(C186:C191)</f>
        <v>860</v>
      </c>
      <c r="D192" s="220"/>
      <c r="E192" s="220"/>
      <c r="F192" s="220"/>
      <c r="G192" s="220"/>
    </row>
    <row r="193" spans="1:7">
      <c r="A193" s="259" t="s">
        <v>257</v>
      </c>
      <c r="B193" s="260"/>
      <c r="C193" s="261"/>
      <c r="D193" s="215">
        <f>D194+D200</f>
        <v>38.192900000000002</v>
      </c>
      <c r="E193" s="215">
        <f>E194+E200</f>
        <v>51.269599999999997</v>
      </c>
      <c r="F193" s="215">
        <f>F194+F200</f>
        <v>179.47359999999998</v>
      </c>
      <c r="G193" s="215">
        <f>G194+G200</f>
        <v>1367.165</v>
      </c>
    </row>
    <row r="194" spans="1:7">
      <c r="A194" s="216"/>
      <c r="B194" s="217" t="s">
        <v>66</v>
      </c>
      <c r="C194" s="216"/>
      <c r="D194" s="215">
        <f>D195+D196+D197+D198</f>
        <v>12.010000000000002</v>
      </c>
      <c r="E194" s="215">
        <f>E195+E196+E197+E198</f>
        <v>10.95</v>
      </c>
      <c r="F194" s="215">
        <f>F195+F196+F197+F198</f>
        <v>94.91</v>
      </c>
      <c r="G194" s="215">
        <f>G195+G196+G197+G198</f>
        <v>547.36500000000001</v>
      </c>
    </row>
    <row r="195" spans="1:7">
      <c r="A195" s="218"/>
      <c r="B195" s="219" t="s">
        <v>41</v>
      </c>
      <c r="C195" s="218">
        <v>100</v>
      </c>
      <c r="D195" s="220">
        <v>0.4</v>
      </c>
      <c r="E195" s="220">
        <v>0</v>
      </c>
      <c r="F195" s="220">
        <v>9.8000000000000007</v>
      </c>
      <c r="G195" s="220">
        <v>42.84</v>
      </c>
    </row>
    <row r="196" spans="1:7" ht="25.5">
      <c r="A196" s="218" t="s">
        <v>174</v>
      </c>
      <c r="B196" s="219" t="s">
        <v>196</v>
      </c>
      <c r="C196" s="218">
        <v>205</v>
      </c>
      <c r="D196" s="220">
        <v>6.81</v>
      </c>
      <c r="E196" s="220">
        <v>10.45</v>
      </c>
      <c r="F196" s="220">
        <v>29.51</v>
      </c>
      <c r="G196" s="220">
        <v>246.6</v>
      </c>
    </row>
    <row r="197" spans="1:7" ht="25.5">
      <c r="A197" s="218" t="s">
        <v>42</v>
      </c>
      <c r="B197" s="219" t="s">
        <v>217</v>
      </c>
      <c r="C197" s="218">
        <v>200</v>
      </c>
      <c r="D197" s="220">
        <v>1</v>
      </c>
      <c r="E197" s="220">
        <v>0.1</v>
      </c>
      <c r="F197" s="220">
        <v>31</v>
      </c>
      <c r="G197" s="220">
        <v>135</v>
      </c>
    </row>
    <row r="198" spans="1:7">
      <c r="A198" s="218"/>
      <c r="B198" s="219" t="s">
        <v>11</v>
      </c>
      <c r="C198" s="218">
        <v>50</v>
      </c>
      <c r="D198" s="220">
        <f>3.04*1.25</f>
        <v>3.8</v>
      </c>
      <c r="E198" s="220">
        <f>0.32*1.25</f>
        <v>0.4</v>
      </c>
      <c r="F198" s="220">
        <f>19.68*1.25</f>
        <v>24.6</v>
      </c>
      <c r="G198" s="220">
        <f>98.34*1.25</f>
        <v>122.92500000000001</v>
      </c>
    </row>
    <row r="199" spans="1:7">
      <c r="A199" s="253" t="s">
        <v>244</v>
      </c>
      <c r="B199" s="254"/>
      <c r="C199" s="216">
        <f>SUM(C195:C198)</f>
        <v>555</v>
      </c>
      <c r="D199" s="220"/>
      <c r="E199" s="220"/>
      <c r="F199" s="220"/>
      <c r="G199" s="220"/>
    </row>
    <row r="200" spans="1:7">
      <c r="A200" s="218"/>
      <c r="B200" s="240" t="s">
        <v>67</v>
      </c>
      <c r="C200" s="216"/>
      <c r="D200" s="215">
        <f>D201+D202+D203+D204+D205</f>
        <v>26.1829</v>
      </c>
      <c r="E200" s="215">
        <f>E201+E202+E203+E204+E205</f>
        <v>40.319600000000001</v>
      </c>
      <c r="F200" s="215">
        <f>F201+F202+F203+F204+F205</f>
        <v>84.563599999999994</v>
      </c>
      <c r="G200" s="215">
        <f>G201+G202+G203+G204+G205</f>
        <v>819.8</v>
      </c>
    </row>
    <row r="201" spans="1:7">
      <c r="A201" s="218" t="s">
        <v>186</v>
      </c>
      <c r="B201" s="219" t="s">
        <v>137</v>
      </c>
      <c r="C201" s="218">
        <v>100</v>
      </c>
      <c r="D201" s="220">
        <f>0.94*1.66</f>
        <v>1.5603999999999998</v>
      </c>
      <c r="E201" s="220">
        <f>4.06*1.66</f>
        <v>6.7395999999999994</v>
      </c>
      <c r="F201" s="220">
        <f>5.96*1.66</f>
        <v>9.8935999999999993</v>
      </c>
      <c r="G201" s="220">
        <v>108.76</v>
      </c>
    </row>
    <row r="202" spans="1:7" ht="25.5">
      <c r="A202" s="218" t="s">
        <v>179</v>
      </c>
      <c r="B202" s="219" t="s">
        <v>141</v>
      </c>
      <c r="C202" s="218">
        <v>255</v>
      </c>
      <c r="D202" s="220">
        <f>2.57*1.25</f>
        <v>3.2124999999999999</v>
      </c>
      <c r="E202" s="220">
        <f>9.24*1.25</f>
        <v>11.55</v>
      </c>
      <c r="F202" s="220">
        <f>18.04*1.25</f>
        <v>22.549999999999997</v>
      </c>
      <c r="G202" s="220">
        <f>169.72*1.25</f>
        <v>212.15</v>
      </c>
    </row>
    <row r="203" spans="1:7">
      <c r="A203" s="218" t="s">
        <v>283</v>
      </c>
      <c r="B203" s="225" t="s">
        <v>282</v>
      </c>
      <c r="C203" s="218">
        <v>200</v>
      </c>
      <c r="D203" s="220">
        <v>18.91</v>
      </c>
      <c r="E203" s="220">
        <v>21.83</v>
      </c>
      <c r="F203" s="220">
        <v>22.12</v>
      </c>
      <c r="G203" s="220">
        <v>360.59</v>
      </c>
    </row>
    <row r="204" spans="1:7">
      <c r="A204" s="221" t="s">
        <v>176</v>
      </c>
      <c r="B204" s="219" t="s">
        <v>10</v>
      </c>
      <c r="C204" s="218">
        <v>200</v>
      </c>
      <c r="D204" s="220">
        <v>0</v>
      </c>
      <c r="E204" s="220">
        <v>0</v>
      </c>
      <c r="F204" s="220">
        <v>10</v>
      </c>
      <c r="G204" s="220">
        <v>42</v>
      </c>
    </row>
    <row r="205" spans="1:7">
      <c r="A205" s="222"/>
      <c r="B205" s="219" t="s">
        <v>37</v>
      </c>
      <c r="C205" s="218">
        <v>50</v>
      </c>
      <c r="D205" s="220">
        <v>2.5</v>
      </c>
      <c r="E205" s="220">
        <v>0.2</v>
      </c>
      <c r="F205" s="220">
        <v>20</v>
      </c>
      <c r="G205" s="220">
        <v>96.3</v>
      </c>
    </row>
    <row r="206" spans="1:7">
      <c r="A206" s="253" t="s">
        <v>244</v>
      </c>
      <c r="B206" s="254"/>
      <c r="C206" s="216">
        <f>SUM(C201:C205)</f>
        <v>805</v>
      </c>
      <c r="D206" s="220"/>
      <c r="E206" s="220"/>
      <c r="F206" s="220"/>
      <c r="G206" s="220"/>
    </row>
    <row r="207" spans="1:7">
      <c r="A207" s="259" t="s">
        <v>267</v>
      </c>
      <c r="B207" s="260"/>
      <c r="C207" s="261"/>
      <c r="D207" s="215">
        <f>D208+D214</f>
        <v>40.320499999999996</v>
      </c>
      <c r="E207" s="215">
        <f>E208+E214</f>
        <v>32.224999999999994</v>
      </c>
      <c r="F207" s="215">
        <f>F208+F214</f>
        <v>220.09775999999999</v>
      </c>
      <c r="G207" s="215">
        <f>G208+G214</f>
        <v>1372.26</v>
      </c>
    </row>
    <row r="208" spans="1:7">
      <c r="A208" s="216"/>
      <c r="B208" s="217" t="s">
        <v>66</v>
      </c>
      <c r="C208" s="216"/>
      <c r="D208" s="215">
        <f>D209+D210+D211+D212</f>
        <v>17.044999999999998</v>
      </c>
      <c r="E208" s="215">
        <f>E209+E210+E211+E212</f>
        <v>9.4224999999999994</v>
      </c>
      <c r="F208" s="215">
        <f>F209+F210+F211+F212</f>
        <v>130.43</v>
      </c>
      <c r="G208" s="215">
        <f>G209+G210+G211+G212</f>
        <v>704.21</v>
      </c>
    </row>
    <row r="209" spans="1:7">
      <c r="A209" s="221" t="s">
        <v>192</v>
      </c>
      <c r="B209" s="219" t="s">
        <v>190</v>
      </c>
      <c r="C209" s="218">
        <v>60</v>
      </c>
      <c r="D209" s="220">
        <v>4.91</v>
      </c>
      <c r="E209" s="220">
        <v>3.79</v>
      </c>
      <c r="F209" s="220">
        <v>36.090000000000003</v>
      </c>
      <c r="G209" s="220">
        <v>206.31</v>
      </c>
    </row>
    <row r="210" spans="1:7" ht="25.5">
      <c r="A210" s="218" t="s">
        <v>174</v>
      </c>
      <c r="B210" s="219" t="s">
        <v>200</v>
      </c>
      <c r="C210" s="218">
        <v>253</v>
      </c>
      <c r="D210" s="220">
        <f>7.26*1.25</f>
        <v>9.0749999999999993</v>
      </c>
      <c r="E210" s="220">
        <f>4.25*1.25</f>
        <v>5.3125</v>
      </c>
      <c r="F210" s="220">
        <f>36.28*1.25</f>
        <v>45.35</v>
      </c>
      <c r="G210" s="220">
        <v>276.39999999999998</v>
      </c>
    </row>
    <row r="211" spans="1:7" ht="25.5">
      <c r="A211" s="221" t="s">
        <v>40</v>
      </c>
      <c r="B211" s="219" t="s">
        <v>218</v>
      </c>
      <c r="C211" s="218">
        <v>200</v>
      </c>
      <c r="D211" s="220">
        <v>0.02</v>
      </c>
      <c r="E211" s="220"/>
      <c r="F211" s="220">
        <v>29.31</v>
      </c>
      <c r="G211" s="220">
        <v>123.16</v>
      </c>
    </row>
    <row r="212" spans="1:7">
      <c r="A212" s="218"/>
      <c r="B212" s="219" t="s">
        <v>11</v>
      </c>
      <c r="C212" s="218">
        <v>40</v>
      </c>
      <c r="D212" s="220">
        <v>3.04</v>
      </c>
      <c r="E212" s="220">
        <v>0.32</v>
      </c>
      <c r="F212" s="220">
        <v>19.68</v>
      </c>
      <c r="G212" s="220">
        <v>98.34</v>
      </c>
    </row>
    <row r="213" spans="1:7">
      <c r="A213" s="253" t="s">
        <v>244</v>
      </c>
      <c r="B213" s="254"/>
      <c r="C213" s="216">
        <f>SUM(C209:C212)</f>
        <v>553</v>
      </c>
      <c r="D213" s="220"/>
      <c r="E213" s="220"/>
      <c r="F213" s="220"/>
      <c r="G213" s="220"/>
    </row>
    <row r="214" spans="1:7">
      <c r="A214" s="218"/>
      <c r="B214" s="240" t="s">
        <v>67</v>
      </c>
      <c r="C214" s="216"/>
      <c r="D214" s="215">
        <f>D215+D216+D217+D218+D219+D220</f>
        <v>23.275499999999997</v>
      </c>
      <c r="E214" s="215">
        <f>E215+E216+E217+E218+E219+E220</f>
        <v>22.802499999999998</v>
      </c>
      <c r="F214" s="215">
        <f>F215+F216+F217+F218+F219+F220</f>
        <v>89.667760000000001</v>
      </c>
      <c r="G214" s="215">
        <f>G215+G216+G217+G218+G219+G220</f>
        <v>668.05</v>
      </c>
    </row>
    <row r="215" spans="1:7">
      <c r="A215" s="218" t="s">
        <v>142</v>
      </c>
      <c r="B215" s="219" t="s">
        <v>143</v>
      </c>
      <c r="C215" s="218">
        <v>100</v>
      </c>
      <c r="D215" s="220">
        <f>0.9*1.67</f>
        <v>1.5029999999999999</v>
      </c>
      <c r="E215" s="220">
        <v>0.06</v>
      </c>
      <c r="F215" s="220">
        <f>8.28*1.667</f>
        <v>13.802759999999999</v>
      </c>
      <c r="G215" s="220">
        <v>64.28</v>
      </c>
    </row>
    <row r="216" spans="1:7">
      <c r="A216" s="218" t="s">
        <v>178</v>
      </c>
      <c r="B216" s="219" t="s">
        <v>138</v>
      </c>
      <c r="C216" s="218">
        <v>255</v>
      </c>
      <c r="D216" s="220">
        <f>3.09*1.25</f>
        <v>3.8624999999999998</v>
      </c>
      <c r="E216" s="220">
        <f>4.61*1.25</f>
        <v>5.7625000000000002</v>
      </c>
      <c r="F216" s="220">
        <f>12.54*1.25</f>
        <v>15.674999999999999</v>
      </c>
      <c r="G216" s="220">
        <f>107.36*1.25</f>
        <v>134.19999999999999</v>
      </c>
    </row>
    <row r="217" spans="1:7">
      <c r="A217" s="218" t="s">
        <v>266</v>
      </c>
      <c r="B217" s="219" t="s">
        <v>265</v>
      </c>
      <c r="C217" s="218">
        <v>100</v>
      </c>
      <c r="D217" s="220">
        <v>11.31</v>
      </c>
      <c r="E217" s="220">
        <v>10.82</v>
      </c>
      <c r="F217" s="220">
        <v>11.3</v>
      </c>
      <c r="G217" s="220">
        <v>187.84</v>
      </c>
    </row>
    <row r="218" spans="1:7">
      <c r="A218" s="218" t="s">
        <v>288</v>
      </c>
      <c r="B218" s="219" t="s">
        <v>287</v>
      </c>
      <c r="C218" s="218">
        <v>180</v>
      </c>
      <c r="D218" s="220">
        <v>5.08</v>
      </c>
      <c r="E218" s="220">
        <v>6</v>
      </c>
      <c r="F218" s="220">
        <v>29.05</v>
      </c>
      <c r="G218" s="220">
        <v>190.56</v>
      </c>
    </row>
    <row r="219" spans="1:7">
      <c r="A219" s="221" t="s">
        <v>176</v>
      </c>
      <c r="B219" s="219" t="s">
        <v>10</v>
      </c>
      <c r="C219" s="218">
        <v>200</v>
      </c>
      <c r="D219" s="220">
        <v>0</v>
      </c>
      <c r="E219" s="220">
        <v>0</v>
      </c>
      <c r="F219" s="220">
        <v>10</v>
      </c>
      <c r="G219" s="220">
        <v>42</v>
      </c>
    </row>
    <row r="220" spans="1:7">
      <c r="A220" s="218"/>
      <c r="B220" s="219" t="s">
        <v>11</v>
      </c>
      <c r="C220" s="218">
        <v>20</v>
      </c>
      <c r="D220" s="220">
        <v>1.52</v>
      </c>
      <c r="E220" s="220">
        <v>0.16</v>
      </c>
      <c r="F220" s="220">
        <v>9.84</v>
      </c>
      <c r="G220" s="220">
        <v>49.17</v>
      </c>
    </row>
    <row r="221" spans="1:7">
      <c r="A221" s="253" t="s">
        <v>244</v>
      </c>
      <c r="B221" s="254"/>
      <c r="C221" s="216">
        <f>SUM(C215:C220)</f>
        <v>855</v>
      </c>
      <c r="D221" s="220"/>
      <c r="E221" s="220"/>
      <c r="F221" s="220"/>
      <c r="G221" s="220"/>
    </row>
    <row r="222" spans="1:7">
      <c r="A222" s="259" t="s">
        <v>268</v>
      </c>
      <c r="B222" s="260"/>
      <c r="C222" s="261"/>
      <c r="D222" s="215">
        <f>D223+D229</f>
        <v>41.793499999999995</v>
      </c>
      <c r="E222" s="215">
        <f>E223+E229</f>
        <v>50.883700000000005</v>
      </c>
      <c r="F222" s="215">
        <f>F223+F229</f>
        <v>198.88380000000001</v>
      </c>
      <c r="G222" s="215">
        <f>G223+G229</f>
        <v>1459.691</v>
      </c>
    </row>
    <row r="223" spans="1:7">
      <c r="A223" s="216"/>
      <c r="B223" s="217" t="s">
        <v>66</v>
      </c>
      <c r="C223" s="216"/>
      <c r="D223" s="215">
        <f>D224+D225+D226+D227</f>
        <v>15.64</v>
      </c>
      <c r="E223" s="215">
        <f>E224+E225+E226+E227</f>
        <v>9.620000000000001</v>
      </c>
      <c r="F223" s="215">
        <f>F224+F225+F226+F227</f>
        <v>94.050000000000011</v>
      </c>
      <c r="G223" s="215">
        <f>G224+G225+G226+G227</f>
        <v>547.32500000000005</v>
      </c>
    </row>
    <row r="224" spans="1:7">
      <c r="A224" s="218"/>
      <c r="B224" s="219" t="s">
        <v>41</v>
      </c>
      <c r="C224" s="218">
        <v>100</v>
      </c>
      <c r="D224" s="220">
        <v>0.4</v>
      </c>
      <c r="E224" s="220">
        <v>0</v>
      </c>
      <c r="F224" s="220">
        <v>9.8000000000000007</v>
      </c>
      <c r="G224" s="220">
        <v>42.84</v>
      </c>
    </row>
    <row r="225" spans="1:7">
      <c r="A225" s="218" t="s">
        <v>193</v>
      </c>
      <c r="B225" s="219" t="s">
        <v>191</v>
      </c>
      <c r="C225" s="218">
        <v>203</v>
      </c>
      <c r="D225" s="220">
        <v>11.44</v>
      </c>
      <c r="E225" s="220">
        <v>9.2200000000000006</v>
      </c>
      <c r="F225" s="220">
        <v>49.65</v>
      </c>
      <c r="G225" s="220">
        <v>339.56</v>
      </c>
    </row>
    <row r="226" spans="1:7">
      <c r="A226" s="222" t="s">
        <v>176</v>
      </c>
      <c r="B226" s="219" t="s">
        <v>10</v>
      </c>
      <c r="C226" s="222">
        <v>200</v>
      </c>
      <c r="D226" s="220">
        <v>0</v>
      </c>
      <c r="E226" s="220">
        <v>0</v>
      </c>
      <c r="F226" s="220">
        <v>10</v>
      </c>
      <c r="G226" s="220">
        <v>42</v>
      </c>
    </row>
    <row r="227" spans="1:7">
      <c r="A227" s="218"/>
      <c r="B227" s="219" t="s">
        <v>11</v>
      </c>
      <c r="C227" s="218">
        <v>50</v>
      </c>
      <c r="D227" s="220">
        <f>3.04*1.25</f>
        <v>3.8</v>
      </c>
      <c r="E227" s="220">
        <f>0.32*1.25</f>
        <v>0.4</v>
      </c>
      <c r="F227" s="220">
        <f>19.68*1.25</f>
        <v>24.6</v>
      </c>
      <c r="G227" s="220">
        <f>98.34*1.25</f>
        <v>122.92500000000001</v>
      </c>
    </row>
    <row r="228" spans="1:7">
      <c r="A228" s="253" t="s">
        <v>244</v>
      </c>
      <c r="B228" s="254"/>
      <c r="C228" s="216">
        <f>SUM(C224:C227)</f>
        <v>553</v>
      </c>
      <c r="D228" s="220"/>
      <c r="E228" s="220"/>
      <c r="F228" s="220"/>
      <c r="G228" s="220"/>
    </row>
    <row r="229" spans="1:7">
      <c r="A229" s="218"/>
      <c r="B229" s="240" t="s">
        <v>67</v>
      </c>
      <c r="C229" s="216"/>
      <c r="D229" s="215">
        <f>D230+D231+D232+D233+D234</f>
        <v>26.153499999999998</v>
      </c>
      <c r="E229" s="215">
        <f>E230+E231+E232+E233+E234</f>
        <v>41.2637</v>
      </c>
      <c r="F229" s="215">
        <f>F230+F231+F232+F233+F234</f>
        <v>104.8338</v>
      </c>
      <c r="G229" s="215">
        <f>G230+G231+G232+G233+G234</f>
        <v>912.36599999999999</v>
      </c>
    </row>
    <row r="230" spans="1:7">
      <c r="A230" s="218" t="s">
        <v>184</v>
      </c>
      <c r="B230" s="219" t="s">
        <v>151</v>
      </c>
      <c r="C230" s="218">
        <v>100</v>
      </c>
      <c r="D230" s="220">
        <f>0.8*1.67</f>
        <v>1.3360000000000001</v>
      </c>
      <c r="E230" s="220">
        <f>3.11*1.67</f>
        <v>5.1936999999999998</v>
      </c>
      <c r="F230" s="220">
        <f>5.64*1.67</f>
        <v>9.4187999999999992</v>
      </c>
      <c r="G230" s="220">
        <f>55.8*1.67</f>
        <v>93.185999999999993</v>
      </c>
    </row>
    <row r="231" spans="1:7" ht="25.5">
      <c r="A231" s="218" t="s">
        <v>180</v>
      </c>
      <c r="B231" s="219" t="s">
        <v>148</v>
      </c>
      <c r="C231" s="218">
        <v>260</v>
      </c>
      <c r="D231" s="220">
        <f>6.51*1.25</f>
        <v>8.1374999999999993</v>
      </c>
      <c r="E231" s="220">
        <f>12.28*1.25</f>
        <v>15.35</v>
      </c>
      <c r="F231" s="220">
        <f>18.94*1.25</f>
        <v>23.675000000000001</v>
      </c>
      <c r="G231" s="220">
        <v>271.76</v>
      </c>
    </row>
    <row r="232" spans="1:7">
      <c r="A232" s="221" t="s">
        <v>290</v>
      </c>
      <c r="B232" s="219" t="s">
        <v>294</v>
      </c>
      <c r="C232" s="218">
        <v>200</v>
      </c>
      <c r="D232" s="220">
        <v>12.49</v>
      </c>
      <c r="E232" s="220">
        <v>20.399999999999999</v>
      </c>
      <c r="F232" s="220">
        <v>40.03</v>
      </c>
      <c r="G232" s="220">
        <v>393.68</v>
      </c>
    </row>
    <row r="233" spans="1:7">
      <c r="A233" s="221" t="s">
        <v>42</v>
      </c>
      <c r="B233" s="219" t="s">
        <v>216</v>
      </c>
      <c r="C233" s="218">
        <v>200</v>
      </c>
      <c r="D233" s="220">
        <f>1.15</f>
        <v>1.1499999999999999</v>
      </c>
      <c r="E233" s="220"/>
      <c r="F233" s="220">
        <v>12.03</v>
      </c>
      <c r="G233" s="220">
        <v>55.4</v>
      </c>
    </row>
    <row r="234" spans="1:7">
      <c r="A234" s="218"/>
      <c r="B234" s="219" t="s">
        <v>11</v>
      </c>
      <c r="C234" s="218">
        <v>40</v>
      </c>
      <c r="D234" s="220">
        <v>3.04</v>
      </c>
      <c r="E234" s="220">
        <v>0.32</v>
      </c>
      <c r="F234" s="220">
        <v>19.68</v>
      </c>
      <c r="G234" s="220">
        <v>98.34</v>
      </c>
    </row>
    <row r="235" spans="1:7">
      <c r="A235" s="253" t="s">
        <v>244</v>
      </c>
      <c r="B235" s="254"/>
      <c r="C235" s="216">
        <f>SUM(C230:C234)</f>
        <v>800</v>
      </c>
      <c r="D235" s="220"/>
      <c r="E235" s="220"/>
      <c r="F235" s="220"/>
      <c r="G235" s="220"/>
    </row>
    <row r="236" spans="1:7">
      <c r="A236" s="259" t="s">
        <v>269</v>
      </c>
      <c r="B236" s="260"/>
      <c r="C236" s="261"/>
      <c r="D236" s="215">
        <f>D237+D245</f>
        <v>37.966900000000003</v>
      </c>
      <c r="E236" s="215">
        <f>E237+E245</f>
        <v>48.027599999999993</v>
      </c>
      <c r="F236" s="215">
        <f>F237+F245</f>
        <v>218.2516</v>
      </c>
      <c r="G236" s="215">
        <f>G237+G245</f>
        <v>1507.9949999999999</v>
      </c>
    </row>
    <row r="237" spans="1:7">
      <c r="A237" s="216"/>
      <c r="B237" s="217" t="s">
        <v>66</v>
      </c>
      <c r="C237" s="216"/>
      <c r="D237" s="215">
        <f>D238+D239+D240+D241+D242+D243</f>
        <v>14.010000000000002</v>
      </c>
      <c r="E237" s="215">
        <f>E238+E239+E240+E241+E242+E243</f>
        <v>11.34</v>
      </c>
      <c r="F237" s="215">
        <f>F238+F239+F240+F241+F242+F243</f>
        <v>85.34</v>
      </c>
      <c r="G237" s="215">
        <f>G238+G239+G240+G241+G242+G243</f>
        <v>520.07500000000005</v>
      </c>
    </row>
    <row r="238" spans="1:7">
      <c r="A238" s="238" t="s">
        <v>175</v>
      </c>
      <c r="B238" s="237" t="s">
        <v>35</v>
      </c>
      <c r="C238" s="238">
        <v>10</v>
      </c>
      <c r="D238" s="239">
        <v>2.6</v>
      </c>
      <c r="E238" s="239">
        <v>2.65</v>
      </c>
      <c r="F238" s="239">
        <v>0.35</v>
      </c>
      <c r="G238" s="239">
        <v>36.24</v>
      </c>
    </row>
    <row r="239" spans="1:7">
      <c r="A239" s="238" t="s">
        <v>173</v>
      </c>
      <c r="B239" s="237" t="s">
        <v>136</v>
      </c>
      <c r="C239" s="238">
        <v>5</v>
      </c>
      <c r="D239" s="239">
        <v>0.05</v>
      </c>
      <c r="E239" s="239">
        <v>3.63</v>
      </c>
      <c r="F239" s="239">
        <v>7.0000000000000007E-2</v>
      </c>
      <c r="G239" s="239">
        <v>33.11</v>
      </c>
    </row>
    <row r="240" spans="1:7">
      <c r="A240" s="218"/>
      <c r="B240" s="219" t="s">
        <v>41</v>
      </c>
      <c r="C240" s="218">
        <v>100</v>
      </c>
      <c r="D240" s="220">
        <v>0.4</v>
      </c>
      <c r="E240" s="220">
        <v>0</v>
      </c>
      <c r="F240" s="220">
        <v>9.8000000000000007</v>
      </c>
      <c r="G240" s="220">
        <v>42.84</v>
      </c>
    </row>
    <row r="241" spans="1:7" ht="25.5">
      <c r="A241" s="218" t="s">
        <v>174</v>
      </c>
      <c r="B241" s="219" t="s">
        <v>202</v>
      </c>
      <c r="C241" s="218">
        <v>203</v>
      </c>
      <c r="D241" s="220">
        <v>7.16</v>
      </c>
      <c r="E241" s="220">
        <v>4.66</v>
      </c>
      <c r="F241" s="220">
        <v>40.520000000000003</v>
      </c>
      <c r="G241" s="220">
        <v>242.96</v>
      </c>
    </row>
    <row r="242" spans="1:7">
      <c r="A242" s="244" t="s">
        <v>176</v>
      </c>
      <c r="B242" s="237" t="s">
        <v>10</v>
      </c>
      <c r="C242" s="244">
        <v>200</v>
      </c>
      <c r="D242" s="239">
        <v>0</v>
      </c>
      <c r="E242" s="239">
        <v>0</v>
      </c>
      <c r="F242" s="239">
        <v>10</v>
      </c>
      <c r="G242" s="239">
        <v>42</v>
      </c>
    </row>
    <row r="243" spans="1:7">
      <c r="A243" s="222"/>
      <c r="B243" s="219" t="s">
        <v>11</v>
      </c>
      <c r="C243" s="218">
        <v>50</v>
      </c>
      <c r="D243" s="220">
        <f>3.04*1.25</f>
        <v>3.8</v>
      </c>
      <c r="E243" s="220">
        <f>0.32*1.25</f>
        <v>0.4</v>
      </c>
      <c r="F243" s="220">
        <f>19.68*1.25</f>
        <v>24.6</v>
      </c>
      <c r="G243" s="220">
        <f>98.34*1.25</f>
        <v>122.92500000000001</v>
      </c>
    </row>
    <row r="244" spans="1:7">
      <c r="A244" s="253" t="s">
        <v>244</v>
      </c>
      <c r="B244" s="254"/>
      <c r="C244" s="223">
        <v>568</v>
      </c>
      <c r="D244" s="224"/>
      <c r="E244" s="224"/>
      <c r="F244" s="224"/>
      <c r="G244" s="224"/>
    </row>
    <row r="245" spans="1:7">
      <c r="A245" s="221"/>
      <c r="B245" s="240" t="s">
        <v>67</v>
      </c>
      <c r="C245" s="223"/>
      <c r="D245" s="229">
        <f>D246+D247+D248+D249+D250+D251</f>
        <v>23.956900000000001</v>
      </c>
      <c r="E245" s="229">
        <f>E246+E247+E248+E249+E250+E251</f>
        <v>36.687599999999996</v>
      </c>
      <c r="F245" s="229">
        <f>F246+F247+F248+F249+F250+F251</f>
        <v>132.91159999999999</v>
      </c>
      <c r="G245" s="229">
        <f>G246+G247+G248+G249+G250+G251</f>
        <v>987.92</v>
      </c>
    </row>
    <row r="246" spans="1:7">
      <c r="A246" s="218" t="s">
        <v>186</v>
      </c>
      <c r="B246" s="219" t="s">
        <v>137</v>
      </c>
      <c r="C246" s="218">
        <v>100</v>
      </c>
      <c r="D246" s="220">
        <f>0.94*1.66</f>
        <v>1.5603999999999998</v>
      </c>
      <c r="E246" s="220">
        <f>4.06*1.66</f>
        <v>6.7395999999999994</v>
      </c>
      <c r="F246" s="220">
        <f>5.96*1.66</f>
        <v>9.8935999999999993</v>
      </c>
      <c r="G246" s="220">
        <v>108.76</v>
      </c>
    </row>
    <row r="247" spans="1:7" ht="25.5">
      <c r="A247" s="218" t="s">
        <v>179</v>
      </c>
      <c r="B247" s="219" t="s">
        <v>141</v>
      </c>
      <c r="C247" s="218">
        <v>255</v>
      </c>
      <c r="D247" s="220">
        <f>2.57*1.25</f>
        <v>3.2124999999999999</v>
      </c>
      <c r="E247" s="220">
        <f>9.24*1.25</f>
        <v>11.55</v>
      </c>
      <c r="F247" s="220">
        <f>18.04*1.25</f>
        <v>22.549999999999997</v>
      </c>
      <c r="G247" s="220">
        <f>169.72*1.25</f>
        <v>212.15</v>
      </c>
    </row>
    <row r="248" spans="1:7">
      <c r="A248" s="218" t="s">
        <v>221</v>
      </c>
      <c r="B248" s="219" t="s">
        <v>150</v>
      </c>
      <c r="C248" s="218">
        <v>105</v>
      </c>
      <c r="D248" s="220">
        <v>6.14</v>
      </c>
      <c r="E248" s="220">
        <v>11.91</v>
      </c>
      <c r="F248" s="220">
        <v>10.92</v>
      </c>
      <c r="G248" s="220">
        <v>178.84</v>
      </c>
    </row>
    <row r="249" spans="1:7">
      <c r="A249" s="221" t="s">
        <v>38</v>
      </c>
      <c r="B249" s="219" t="s">
        <v>36</v>
      </c>
      <c r="C249" s="218">
        <v>180</v>
      </c>
      <c r="D249" s="220">
        <f>8.77*1.2</f>
        <v>10.523999999999999</v>
      </c>
      <c r="E249" s="220">
        <f>5.19*1.2</f>
        <v>6.2280000000000006</v>
      </c>
      <c r="F249" s="220">
        <f>39.6*1.23</f>
        <v>48.707999999999998</v>
      </c>
      <c r="G249" s="220">
        <v>304</v>
      </c>
    </row>
    <row r="250" spans="1:7" ht="25.5">
      <c r="A250" s="218" t="s">
        <v>42</v>
      </c>
      <c r="B250" s="219" t="s">
        <v>217</v>
      </c>
      <c r="C250" s="218">
        <v>200</v>
      </c>
      <c r="D250" s="220">
        <v>1</v>
      </c>
      <c r="E250" s="220">
        <v>0.1</v>
      </c>
      <c r="F250" s="220">
        <v>31</v>
      </c>
      <c r="G250" s="220">
        <v>135</v>
      </c>
    </row>
    <row r="251" spans="1:7">
      <c r="A251" s="218"/>
      <c r="B251" s="219" t="s">
        <v>11</v>
      </c>
      <c r="C251" s="218">
        <v>20</v>
      </c>
      <c r="D251" s="220">
        <v>1.52</v>
      </c>
      <c r="E251" s="220">
        <v>0.16</v>
      </c>
      <c r="F251" s="220">
        <v>9.84</v>
      </c>
      <c r="G251" s="220">
        <v>49.17</v>
      </c>
    </row>
    <row r="252" spans="1:7">
      <c r="A252" s="253" t="s">
        <v>244</v>
      </c>
      <c r="B252" s="254"/>
      <c r="C252" s="216">
        <f>SUM(C246:C251)</f>
        <v>860</v>
      </c>
      <c r="D252" s="220"/>
      <c r="E252" s="220"/>
      <c r="F252" s="220"/>
      <c r="G252" s="220"/>
    </row>
    <row r="253" spans="1:7">
      <c r="A253" s="255" t="s">
        <v>270</v>
      </c>
      <c r="B253" s="255"/>
      <c r="C253" s="255"/>
      <c r="D253" s="215">
        <f>D254+D260</f>
        <v>41.714439999999996</v>
      </c>
      <c r="E253" s="215">
        <f>E254+E260</f>
        <v>50.620459999999994</v>
      </c>
      <c r="F253" s="215">
        <f>F254+F260</f>
        <v>221.21628000000001</v>
      </c>
      <c r="G253" s="215">
        <f>G254+G260</f>
        <v>1560.4485</v>
      </c>
    </row>
    <row r="254" spans="1:7">
      <c r="A254" s="216"/>
      <c r="B254" s="217" t="s">
        <v>66</v>
      </c>
      <c r="C254" s="216"/>
      <c r="D254" s="215">
        <f>D255+D256+D257+D258</f>
        <v>15.162499999999998</v>
      </c>
      <c r="E254" s="215">
        <f>E255+E256+E257+E258</f>
        <v>24.3675</v>
      </c>
      <c r="F254" s="215">
        <f>F255+F256+F257+F258</f>
        <v>128.32750000000001</v>
      </c>
      <c r="G254" s="215">
        <f>G255+G256+G257+G258</f>
        <v>821.98</v>
      </c>
    </row>
    <row r="255" spans="1:7" ht="25.5">
      <c r="A255" s="218" t="s">
        <v>174</v>
      </c>
      <c r="B255" s="219" t="s">
        <v>199</v>
      </c>
      <c r="C255" s="218">
        <v>253</v>
      </c>
      <c r="D255" s="220">
        <f>7.81*1.25</f>
        <v>9.7624999999999993</v>
      </c>
      <c r="E255" s="220">
        <f>4.55*1.25</f>
        <v>5.6875</v>
      </c>
      <c r="F255" s="220">
        <f>33.47*1.25</f>
        <v>41.837499999999999</v>
      </c>
      <c r="G255" s="220">
        <v>267.91000000000003</v>
      </c>
    </row>
    <row r="256" spans="1:7">
      <c r="A256" s="218"/>
      <c r="B256" s="219" t="s">
        <v>194</v>
      </c>
      <c r="C256" s="227">
        <v>60</v>
      </c>
      <c r="D256" s="220">
        <v>2.34</v>
      </c>
      <c r="E256" s="220">
        <v>18.36</v>
      </c>
      <c r="F256" s="220">
        <v>37.5</v>
      </c>
      <c r="G256" s="220">
        <v>332.57</v>
      </c>
    </row>
    <row r="257" spans="1:7" ht="25.5">
      <c r="A257" s="221" t="s">
        <v>40</v>
      </c>
      <c r="B257" s="219" t="s">
        <v>218</v>
      </c>
      <c r="C257" s="218">
        <v>200</v>
      </c>
      <c r="D257" s="220">
        <v>0.02</v>
      </c>
      <c r="E257" s="220"/>
      <c r="F257" s="220">
        <v>29.31</v>
      </c>
      <c r="G257" s="220">
        <v>123.16</v>
      </c>
    </row>
    <row r="258" spans="1:7">
      <c r="A258" s="218"/>
      <c r="B258" s="219" t="s">
        <v>11</v>
      </c>
      <c r="C258" s="218">
        <v>40</v>
      </c>
      <c r="D258" s="220">
        <v>3.04</v>
      </c>
      <c r="E258" s="220">
        <v>0.32</v>
      </c>
      <c r="F258" s="220">
        <v>19.68</v>
      </c>
      <c r="G258" s="220">
        <v>98.34</v>
      </c>
    </row>
    <row r="259" spans="1:7">
      <c r="A259" s="253" t="s">
        <v>244</v>
      </c>
      <c r="B259" s="254"/>
      <c r="C259" s="223">
        <f>SUM(C255:C258)</f>
        <v>553</v>
      </c>
      <c r="D259" s="224"/>
      <c r="E259" s="224"/>
      <c r="F259" s="224"/>
      <c r="G259" s="224"/>
    </row>
    <row r="260" spans="1:7">
      <c r="A260" s="218"/>
      <c r="B260" s="240" t="s">
        <v>67</v>
      </c>
      <c r="C260" s="223"/>
      <c r="D260" s="229">
        <f>D261+D262+D263+D264+D265</f>
        <v>26.551939999999998</v>
      </c>
      <c r="E260" s="229">
        <f>E261+E262+E263+E264+E265</f>
        <v>26.252959999999998</v>
      </c>
      <c r="F260" s="229">
        <f>F261+F262+F263+F264+F265</f>
        <v>92.888779999999997</v>
      </c>
      <c r="G260" s="229">
        <f>G261+G262+G263+G264+G265</f>
        <v>738.46849999999995</v>
      </c>
    </row>
    <row r="261" spans="1:7">
      <c r="A261" s="218" t="s">
        <v>68</v>
      </c>
      <c r="B261" s="219" t="s">
        <v>69</v>
      </c>
      <c r="C261" s="218">
        <v>100</v>
      </c>
      <c r="D261" s="220">
        <f>0.84*1.666</f>
        <v>1.3994399999999998</v>
      </c>
      <c r="E261" s="220">
        <f>3.06*1.666</f>
        <v>5.0979599999999996</v>
      </c>
      <c r="F261" s="220">
        <f>6.83*1.666</f>
        <v>11.378779999999999</v>
      </c>
      <c r="G261" s="220">
        <f>59.75*1.666</f>
        <v>99.543499999999995</v>
      </c>
    </row>
    <row r="262" spans="1:7" ht="25.5">
      <c r="A262" s="221" t="s">
        <v>101</v>
      </c>
      <c r="B262" s="219" t="s">
        <v>170</v>
      </c>
      <c r="C262" s="218">
        <v>255</v>
      </c>
      <c r="D262" s="220">
        <f>5.81*1.25</f>
        <v>7.2624999999999993</v>
      </c>
      <c r="E262" s="220">
        <f>11.82*1.25</f>
        <v>14.775</v>
      </c>
      <c r="F262" s="220">
        <f>15.48*1.25</f>
        <v>19.350000000000001</v>
      </c>
      <c r="G262" s="220">
        <f>196*1.25</f>
        <v>245</v>
      </c>
    </row>
    <row r="263" spans="1:7">
      <c r="A263" s="218" t="s">
        <v>222</v>
      </c>
      <c r="B263" s="219" t="s">
        <v>144</v>
      </c>
      <c r="C263" s="218">
        <v>200</v>
      </c>
      <c r="D263" s="220">
        <v>14.09</v>
      </c>
      <c r="E263" s="220">
        <v>5.98</v>
      </c>
      <c r="F263" s="220">
        <v>27.56</v>
      </c>
      <c r="G263" s="220">
        <v>229</v>
      </c>
    </row>
    <row r="264" spans="1:7">
      <c r="A264" s="222" t="s">
        <v>176</v>
      </c>
      <c r="B264" s="219" t="s">
        <v>10</v>
      </c>
      <c r="C264" s="222">
        <v>200</v>
      </c>
      <c r="D264" s="220">
        <v>0</v>
      </c>
      <c r="E264" s="220">
        <v>0</v>
      </c>
      <c r="F264" s="220">
        <v>10</v>
      </c>
      <c r="G264" s="220">
        <v>42</v>
      </c>
    </row>
    <row r="265" spans="1:7">
      <c r="A265" s="222"/>
      <c r="B265" s="219" t="s">
        <v>11</v>
      </c>
      <c r="C265" s="218">
        <v>50</v>
      </c>
      <c r="D265" s="220">
        <f>3.04*1.25</f>
        <v>3.8</v>
      </c>
      <c r="E265" s="220">
        <f>0.32*1.25</f>
        <v>0.4</v>
      </c>
      <c r="F265" s="220">
        <f>19.68*1.25</f>
        <v>24.6</v>
      </c>
      <c r="G265" s="220">
        <f>98.34*1.25</f>
        <v>122.92500000000001</v>
      </c>
    </row>
    <row r="266" spans="1:7">
      <c r="A266" s="253" t="s">
        <v>244</v>
      </c>
      <c r="B266" s="254"/>
      <c r="C266" s="228">
        <f>SUM(C261:C265)</f>
        <v>805</v>
      </c>
      <c r="D266" s="220"/>
      <c r="E266" s="220"/>
      <c r="F266" s="220"/>
      <c r="G266" s="220"/>
    </row>
    <row r="267" spans="1:7">
      <c r="A267" s="259" t="s">
        <v>271</v>
      </c>
      <c r="B267" s="260"/>
      <c r="C267" s="261"/>
      <c r="D267" s="215">
        <f>D268+D274</f>
        <v>33.608399999999996</v>
      </c>
      <c r="E267" s="215">
        <f>E268+E274</f>
        <v>35.870199999999997</v>
      </c>
      <c r="F267" s="215">
        <f>F268+F274</f>
        <v>209.11640000000003</v>
      </c>
      <c r="G267" s="215">
        <f>G268+G274</f>
        <v>1332.5207</v>
      </c>
    </row>
    <row r="268" spans="1:7">
      <c r="A268" s="216"/>
      <c r="B268" s="217" t="s">
        <v>66</v>
      </c>
      <c r="C268" s="216"/>
      <c r="D268" s="215">
        <f>D269+D270+D271+D272</f>
        <v>12.399999999999999</v>
      </c>
      <c r="E268" s="215">
        <f>E269+E270+E271+E272</f>
        <v>10.6</v>
      </c>
      <c r="F268" s="215">
        <f>F269+F270+F271+F272</f>
        <v>94.420000000000016</v>
      </c>
      <c r="G268" s="215">
        <f>G269+G270+G271+G272</f>
        <v>544.08500000000004</v>
      </c>
    </row>
    <row r="269" spans="1:7">
      <c r="A269" s="218"/>
      <c r="B269" s="219" t="s">
        <v>41</v>
      </c>
      <c r="C269" s="218">
        <v>100</v>
      </c>
      <c r="D269" s="220">
        <v>0.4</v>
      </c>
      <c r="E269" s="220">
        <v>0</v>
      </c>
      <c r="F269" s="220">
        <v>9.8000000000000007</v>
      </c>
      <c r="G269" s="220">
        <v>42.84</v>
      </c>
    </row>
    <row r="270" spans="1:7" ht="25.5">
      <c r="A270" s="218" t="s">
        <v>174</v>
      </c>
      <c r="B270" s="219" t="s">
        <v>198</v>
      </c>
      <c r="C270" s="218">
        <v>203</v>
      </c>
      <c r="D270" s="220">
        <v>8.1999999999999993</v>
      </c>
      <c r="E270" s="220">
        <v>10.199999999999999</v>
      </c>
      <c r="F270" s="220">
        <v>50.02</v>
      </c>
      <c r="G270" s="220">
        <v>336.32</v>
      </c>
    </row>
    <row r="271" spans="1:7">
      <c r="A271" s="218" t="s">
        <v>176</v>
      </c>
      <c r="B271" s="219" t="s">
        <v>10</v>
      </c>
      <c r="C271" s="218">
        <v>200</v>
      </c>
      <c r="D271" s="220">
        <v>0</v>
      </c>
      <c r="E271" s="220">
        <v>0</v>
      </c>
      <c r="F271" s="220">
        <v>10</v>
      </c>
      <c r="G271" s="220">
        <v>42</v>
      </c>
    </row>
    <row r="272" spans="1:7">
      <c r="A272" s="222"/>
      <c r="B272" s="219" t="s">
        <v>11</v>
      </c>
      <c r="C272" s="218">
        <v>50</v>
      </c>
      <c r="D272" s="220">
        <f>3.04*1.25</f>
        <v>3.8</v>
      </c>
      <c r="E272" s="220">
        <f>0.32*1.25</f>
        <v>0.4</v>
      </c>
      <c r="F272" s="220">
        <f>19.68*1.25</f>
        <v>24.6</v>
      </c>
      <c r="G272" s="220">
        <f>98.34*1.25</f>
        <v>122.92500000000001</v>
      </c>
    </row>
    <row r="273" spans="1:7">
      <c r="A273" s="253" t="s">
        <v>244</v>
      </c>
      <c r="B273" s="254"/>
      <c r="C273" s="235">
        <f>SUM(C269:C272)</f>
        <v>553</v>
      </c>
      <c r="D273" s="220"/>
      <c r="E273" s="220"/>
      <c r="F273" s="220"/>
      <c r="G273" s="220"/>
    </row>
    <row r="274" spans="1:7">
      <c r="A274" s="222"/>
      <c r="B274" s="240" t="s">
        <v>67</v>
      </c>
      <c r="C274" s="233"/>
      <c r="D274" s="215">
        <f>D275+D276+D277+D278+D279</f>
        <v>21.208399999999997</v>
      </c>
      <c r="E274" s="215">
        <f>E275+E276+E277+E278+E279</f>
        <v>25.270199999999999</v>
      </c>
      <c r="F274" s="215">
        <f>F275+F276+F277+F278+F279</f>
        <v>114.69640000000001</v>
      </c>
      <c r="G274" s="215">
        <f>G275+G276+G277+G278+G279</f>
        <v>788.4357</v>
      </c>
    </row>
    <row r="275" spans="1:7">
      <c r="A275" s="222" t="s">
        <v>187</v>
      </c>
      <c r="B275" s="219" t="s">
        <v>147</v>
      </c>
      <c r="C275" s="218">
        <v>100</v>
      </c>
      <c r="D275" s="220">
        <f>0.74*1.66</f>
        <v>1.2283999999999999</v>
      </c>
      <c r="E275" s="220">
        <f>0.06*1.67</f>
        <v>0.1002</v>
      </c>
      <c r="F275" s="220">
        <f>16.92*1.67</f>
        <v>28.256400000000003</v>
      </c>
      <c r="G275" s="220">
        <f>74.71*1.67</f>
        <v>124.76569999999998</v>
      </c>
    </row>
    <row r="276" spans="1:7" ht="25.5">
      <c r="A276" s="218" t="s">
        <v>117</v>
      </c>
      <c r="B276" s="219" t="s">
        <v>145</v>
      </c>
      <c r="C276" s="218">
        <v>260</v>
      </c>
      <c r="D276" s="220">
        <f>2.64*1.25</f>
        <v>3.3000000000000003</v>
      </c>
      <c r="E276" s="220">
        <f>3.56*1.25</f>
        <v>4.45</v>
      </c>
      <c r="F276" s="220">
        <f>11.76*1.25</f>
        <v>14.7</v>
      </c>
      <c r="G276" s="220">
        <f>93*1.25</f>
        <v>116.25</v>
      </c>
    </row>
    <row r="277" spans="1:7">
      <c r="A277" s="221" t="s">
        <v>290</v>
      </c>
      <c r="B277" s="219" t="s">
        <v>294</v>
      </c>
      <c r="C277" s="218">
        <v>200</v>
      </c>
      <c r="D277" s="220">
        <v>12.49</v>
      </c>
      <c r="E277" s="220">
        <v>20.399999999999999</v>
      </c>
      <c r="F277" s="220">
        <v>40.03</v>
      </c>
      <c r="G277" s="220">
        <v>393.68</v>
      </c>
    </row>
    <row r="278" spans="1:7">
      <c r="A278" s="221" t="s">
        <v>42</v>
      </c>
      <c r="B278" s="219" t="s">
        <v>216</v>
      </c>
      <c r="C278" s="218">
        <v>200</v>
      </c>
      <c r="D278" s="220">
        <f>1.15</f>
        <v>1.1499999999999999</v>
      </c>
      <c r="E278" s="220"/>
      <c r="F278" s="220">
        <v>12.03</v>
      </c>
      <c r="G278" s="220">
        <v>55.4</v>
      </c>
    </row>
    <row r="279" spans="1:7">
      <c r="A279" s="218"/>
      <c r="B279" s="219" t="s">
        <v>11</v>
      </c>
      <c r="C279" s="218">
        <v>40</v>
      </c>
      <c r="D279" s="220">
        <v>3.04</v>
      </c>
      <c r="E279" s="220">
        <v>0.32</v>
      </c>
      <c r="F279" s="220">
        <v>19.68</v>
      </c>
      <c r="G279" s="220">
        <v>98.34</v>
      </c>
    </row>
    <row r="280" spans="1:7">
      <c r="A280" s="253" t="s">
        <v>244</v>
      </c>
      <c r="B280" s="254"/>
      <c r="C280" s="216">
        <f>SUM(C275:C279)</f>
        <v>800</v>
      </c>
      <c r="D280" s="220"/>
      <c r="E280" s="220"/>
      <c r="F280" s="220"/>
      <c r="G280" s="220"/>
    </row>
    <row r="281" spans="1:7">
      <c r="A281" s="259" t="s">
        <v>274</v>
      </c>
      <c r="B281" s="260"/>
      <c r="C281" s="261"/>
      <c r="D281" s="215">
        <f>D282+D288</f>
        <v>36.102199999999996</v>
      </c>
      <c r="E281" s="215">
        <f>E282+E288</f>
        <v>45.8827</v>
      </c>
      <c r="F281" s="215">
        <f>F282+F288</f>
        <v>213.52800000000002</v>
      </c>
      <c r="G281" s="215">
        <f>G282+G288</f>
        <v>1473.26674</v>
      </c>
    </row>
    <row r="282" spans="1:7">
      <c r="A282" s="216"/>
      <c r="B282" s="217" t="s">
        <v>66</v>
      </c>
      <c r="C282" s="216"/>
      <c r="D282" s="215">
        <f>D283+D284+D285+D286</f>
        <v>16.22</v>
      </c>
      <c r="E282" s="215">
        <f>E283+E284+E285+E286</f>
        <v>9.19</v>
      </c>
      <c r="F282" s="215">
        <f>F283+F284+F285+F286</f>
        <v>118.81</v>
      </c>
      <c r="G282" s="215">
        <f>G283+G284+G285+G286</f>
        <v>634.88100000000009</v>
      </c>
    </row>
    <row r="283" spans="1:7">
      <c r="A283" s="221" t="s">
        <v>192</v>
      </c>
      <c r="B283" s="219" t="s">
        <v>190</v>
      </c>
      <c r="C283" s="218">
        <v>60</v>
      </c>
      <c r="D283" s="220">
        <v>4.91</v>
      </c>
      <c r="E283" s="220">
        <v>3.79</v>
      </c>
      <c r="F283" s="220">
        <v>36.090000000000003</v>
      </c>
      <c r="G283" s="220">
        <v>206.31</v>
      </c>
    </row>
    <row r="284" spans="1:7" ht="25.5">
      <c r="A284" s="218" t="s">
        <v>174</v>
      </c>
      <c r="B284" s="219" t="s">
        <v>289</v>
      </c>
      <c r="C284" s="218">
        <v>253</v>
      </c>
      <c r="D284" s="220">
        <v>7.5</v>
      </c>
      <c r="E284" s="220">
        <v>5</v>
      </c>
      <c r="F284" s="220">
        <v>42.5</v>
      </c>
      <c r="G284" s="220">
        <v>240</v>
      </c>
    </row>
    <row r="285" spans="1:7">
      <c r="A285" s="221" t="s">
        <v>223</v>
      </c>
      <c r="B285" s="219" t="s">
        <v>158</v>
      </c>
      <c r="C285" s="218">
        <v>200</v>
      </c>
      <c r="D285" s="220">
        <v>0.01</v>
      </c>
      <c r="E285" s="220"/>
      <c r="F285" s="220">
        <v>15.62</v>
      </c>
      <c r="G285" s="220">
        <v>65.646000000000001</v>
      </c>
    </row>
    <row r="286" spans="1:7">
      <c r="A286" s="221"/>
      <c r="B286" s="219" t="s">
        <v>11</v>
      </c>
      <c r="C286" s="218">
        <v>50</v>
      </c>
      <c r="D286" s="220">
        <f>3.04*1.25</f>
        <v>3.8</v>
      </c>
      <c r="E286" s="220">
        <f>0.32*1.25</f>
        <v>0.4</v>
      </c>
      <c r="F286" s="220">
        <f>19.68*1.25</f>
        <v>24.6</v>
      </c>
      <c r="G286" s="220">
        <f>98.34*1.25</f>
        <v>122.92500000000001</v>
      </c>
    </row>
    <row r="287" spans="1:7">
      <c r="A287" s="253" t="s">
        <v>244</v>
      </c>
      <c r="B287" s="254"/>
      <c r="C287" s="216">
        <f>SUM(C283:C286)</f>
        <v>563</v>
      </c>
      <c r="D287" s="220"/>
      <c r="E287" s="220"/>
      <c r="F287" s="220"/>
      <c r="G287" s="220"/>
    </row>
    <row r="288" spans="1:7">
      <c r="A288" s="218"/>
      <c r="B288" s="240" t="s">
        <v>67</v>
      </c>
      <c r="C288" s="216"/>
      <c r="D288" s="215">
        <f>D289+D290+D291+D292+D293+D294</f>
        <v>19.882199999999997</v>
      </c>
      <c r="E288" s="215">
        <f>E289+E290+E291+E292+E293+E294</f>
        <v>36.692700000000002</v>
      </c>
      <c r="F288" s="215">
        <f>F289+F290+F291+F292+F293+F294</f>
        <v>94.718000000000004</v>
      </c>
      <c r="G288" s="215">
        <f>G289+G290+G291+G292+G293+G294</f>
        <v>838.38573999999994</v>
      </c>
    </row>
    <row r="289" spans="1:7">
      <c r="A289" s="218" t="s">
        <v>184</v>
      </c>
      <c r="B289" s="219" t="s">
        <v>151</v>
      </c>
      <c r="C289" s="218">
        <v>100</v>
      </c>
      <c r="D289" s="220">
        <f>0.8*1.67</f>
        <v>1.3360000000000001</v>
      </c>
      <c r="E289" s="220">
        <f>3.11*1.67</f>
        <v>5.1936999999999998</v>
      </c>
      <c r="F289" s="220">
        <f>5.64*1.67</f>
        <v>9.4187999999999992</v>
      </c>
      <c r="G289" s="220">
        <f>55.8*1.67</f>
        <v>93.185999999999993</v>
      </c>
    </row>
    <row r="290" spans="1:7" ht="25.5">
      <c r="A290" s="218" t="s">
        <v>124</v>
      </c>
      <c r="B290" s="219" t="s">
        <v>155</v>
      </c>
      <c r="C290" s="218">
        <v>255</v>
      </c>
      <c r="D290" s="220">
        <f>3.96*1.25</f>
        <v>4.95</v>
      </c>
      <c r="E290" s="220">
        <f>4.86*1.25</f>
        <v>6.0750000000000002</v>
      </c>
      <c r="F290" s="220">
        <f>17.01*1.25</f>
        <v>21.262500000000003</v>
      </c>
      <c r="G290" s="220">
        <f>131.81*1.254</f>
        <v>165.28973999999999</v>
      </c>
    </row>
    <row r="291" spans="1:7">
      <c r="A291" s="221" t="s">
        <v>160</v>
      </c>
      <c r="B291" s="219" t="s">
        <v>161</v>
      </c>
      <c r="C291" s="227">
        <v>110</v>
      </c>
      <c r="D291" s="220">
        <v>9.15</v>
      </c>
      <c r="E291" s="220">
        <v>14.97</v>
      </c>
      <c r="F291" s="220">
        <v>10.6</v>
      </c>
      <c r="G291" s="220">
        <v>217.68</v>
      </c>
    </row>
    <row r="292" spans="1:7">
      <c r="A292" s="218" t="s">
        <v>34</v>
      </c>
      <c r="B292" s="219" t="s">
        <v>32</v>
      </c>
      <c r="C292" s="218">
        <v>200</v>
      </c>
      <c r="D292" s="220">
        <v>3.26</v>
      </c>
      <c r="E292" s="220">
        <f>7.8*1.33</f>
        <v>10.374000000000001</v>
      </c>
      <c r="F292" s="220">
        <f>21.99*1.33</f>
        <v>29.246700000000001</v>
      </c>
      <c r="G292" s="220">
        <v>234.48</v>
      </c>
    </row>
    <row r="293" spans="1:7">
      <c r="A293" s="218" t="s">
        <v>188</v>
      </c>
      <c r="B293" s="219" t="s">
        <v>90</v>
      </c>
      <c r="C293" s="218">
        <v>200</v>
      </c>
      <c r="D293" s="220">
        <f>0.14*1.33</f>
        <v>0.18620000000000003</v>
      </c>
      <c r="E293" s="220"/>
      <c r="F293" s="220">
        <v>16.190000000000001</v>
      </c>
      <c r="G293" s="220">
        <v>89.23</v>
      </c>
    </row>
    <row r="294" spans="1:7">
      <c r="A294" s="222"/>
      <c r="B294" s="219" t="s">
        <v>37</v>
      </c>
      <c r="C294" s="218">
        <v>20</v>
      </c>
      <c r="D294" s="220">
        <v>1</v>
      </c>
      <c r="E294" s="220">
        <v>0.08</v>
      </c>
      <c r="F294" s="220">
        <v>8</v>
      </c>
      <c r="G294" s="220">
        <v>38.520000000000003</v>
      </c>
    </row>
    <row r="295" spans="1:7">
      <c r="A295" s="253" t="s">
        <v>244</v>
      </c>
      <c r="B295" s="254"/>
      <c r="C295" s="216">
        <f>SUM(C289:C294)</f>
        <v>885</v>
      </c>
      <c r="D295" s="220"/>
      <c r="E295" s="220"/>
      <c r="F295" s="220"/>
      <c r="G295" s="220"/>
    </row>
    <row r="296" spans="1:7">
      <c r="A296" s="259" t="s">
        <v>275</v>
      </c>
      <c r="B296" s="260"/>
      <c r="C296" s="261"/>
      <c r="D296" s="215">
        <f>D297+D304</f>
        <v>59.392499999999991</v>
      </c>
      <c r="E296" s="215">
        <f>E297+E304</f>
        <v>66.19</v>
      </c>
      <c r="F296" s="215">
        <f>F297+F304</f>
        <v>161.9025</v>
      </c>
      <c r="G296" s="215">
        <f>G297+G304</f>
        <v>1505.287</v>
      </c>
    </row>
    <row r="297" spans="1:7">
      <c r="A297" s="216"/>
      <c r="B297" s="217" t="s">
        <v>66</v>
      </c>
      <c r="C297" s="216"/>
      <c r="D297" s="215">
        <f>D298+D299+D300+D301+D302</f>
        <v>35.389999999999993</v>
      </c>
      <c r="E297" s="215">
        <f>E298+E299+E300+E301+E302</f>
        <v>14.69</v>
      </c>
      <c r="F297" s="215">
        <f>F298+F299+F300+F301+F302</f>
        <v>83.44</v>
      </c>
      <c r="G297" s="215">
        <f>G298+G299+G300+G301+G302</f>
        <v>617.27200000000005</v>
      </c>
    </row>
    <row r="298" spans="1:7">
      <c r="A298" s="218"/>
      <c r="B298" s="219" t="s">
        <v>166</v>
      </c>
      <c r="C298" s="218">
        <v>40</v>
      </c>
      <c r="D298" s="220">
        <v>5.08</v>
      </c>
      <c r="E298" s="220">
        <v>4.5999999999999996</v>
      </c>
      <c r="F298" s="220">
        <v>0.28000000000000003</v>
      </c>
      <c r="G298" s="220">
        <v>63.911999999999999</v>
      </c>
    </row>
    <row r="299" spans="1:7">
      <c r="A299" s="218" t="s">
        <v>277</v>
      </c>
      <c r="B299" s="219" t="s">
        <v>276</v>
      </c>
      <c r="C299" s="218">
        <v>160</v>
      </c>
      <c r="D299" s="220">
        <v>26.83</v>
      </c>
      <c r="E299" s="220">
        <v>9.77</v>
      </c>
      <c r="F299" s="220">
        <v>42.7</v>
      </c>
      <c r="G299" s="220">
        <v>365.9</v>
      </c>
    </row>
    <row r="300" spans="1:7">
      <c r="A300" s="218"/>
      <c r="B300" s="219" t="s">
        <v>41</v>
      </c>
      <c r="C300" s="218">
        <v>110</v>
      </c>
      <c r="D300" s="220">
        <v>0.44</v>
      </c>
      <c r="E300" s="220">
        <v>0</v>
      </c>
      <c r="F300" s="220">
        <v>10.78</v>
      </c>
      <c r="G300" s="220">
        <v>47.12</v>
      </c>
    </row>
    <row r="301" spans="1:7">
      <c r="A301" s="218" t="s">
        <v>176</v>
      </c>
      <c r="B301" s="219" t="s">
        <v>10</v>
      </c>
      <c r="C301" s="222">
        <v>200</v>
      </c>
      <c r="D301" s="220">
        <v>0</v>
      </c>
      <c r="E301" s="220">
        <v>0</v>
      </c>
      <c r="F301" s="220">
        <v>10</v>
      </c>
      <c r="G301" s="220">
        <v>42</v>
      </c>
    </row>
    <row r="302" spans="1:7">
      <c r="A302" s="218"/>
      <c r="B302" s="219" t="s">
        <v>11</v>
      </c>
      <c r="C302" s="218">
        <v>40</v>
      </c>
      <c r="D302" s="220">
        <v>3.04</v>
      </c>
      <c r="E302" s="220">
        <v>0.32</v>
      </c>
      <c r="F302" s="220">
        <v>19.68</v>
      </c>
      <c r="G302" s="220">
        <v>98.34</v>
      </c>
    </row>
    <row r="303" spans="1:7">
      <c r="A303" s="253" t="s">
        <v>244</v>
      </c>
      <c r="B303" s="254"/>
      <c r="C303" s="228">
        <f>SUM(C298:C302)</f>
        <v>550</v>
      </c>
      <c r="D303" s="220"/>
      <c r="E303" s="220"/>
      <c r="F303" s="220"/>
      <c r="G303" s="220"/>
    </row>
    <row r="304" spans="1:7">
      <c r="A304" s="218"/>
      <c r="B304" s="240" t="s">
        <v>67</v>
      </c>
      <c r="C304" s="216"/>
      <c r="D304" s="215">
        <f>D305+D306+D307+D308+D309</f>
        <v>24.002499999999998</v>
      </c>
      <c r="E304" s="215">
        <f>E305+E306+E307+E308+E309</f>
        <v>51.5</v>
      </c>
      <c r="F304" s="215">
        <f>F305+F306+F307+F308+F309</f>
        <v>78.462500000000006</v>
      </c>
      <c r="G304" s="215">
        <f>G305+G306+G307+G308+G309</f>
        <v>888.01499999999999</v>
      </c>
    </row>
    <row r="305" spans="1:7">
      <c r="A305" s="218" t="s">
        <v>281</v>
      </c>
      <c r="B305" s="219" t="s">
        <v>280</v>
      </c>
      <c r="C305" s="218">
        <v>100</v>
      </c>
      <c r="D305" s="231">
        <v>0.8</v>
      </c>
      <c r="E305" s="220">
        <v>0</v>
      </c>
      <c r="F305" s="220">
        <v>1.7</v>
      </c>
      <c r="G305" s="220">
        <v>10</v>
      </c>
    </row>
    <row r="306" spans="1:7">
      <c r="A306" s="221" t="s">
        <v>181</v>
      </c>
      <c r="B306" s="219" t="s">
        <v>159</v>
      </c>
      <c r="C306" s="218">
        <v>260</v>
      </c>
      <c r="D306" s="220">
        <f>4.65*1.25</f>
        <v>5.8125</v>
      </c>
      <c r="E306" s="220">
        <f>6.92*1.25</f>
        <v>8.65</v>
      </c>
      <c r="F306" s="220">
        <f>12.49*1.25</f>
        <v>15.612500000000001</v>
      </c>
      <c r="G306" s="220">
        <f>134.268*1.25</f>
        <v>167.83500000000001</v>
      </c>
    </row>
    <row r="307" spans="1:7">
      <c r="A307" s="218" t="s">
        <v>226</v>
      </c>
      <c r="B307" s="219" t="s">
        <v>293</v>
      </c>
      <c r="C307" s="218">
        <v>250</v>
      </c>
      <c r="D307" s="220">
        <v>14.33</v>
      </c>
      <c r="E307" s="220">
        <v>42.53</v>
      </c>
      <c r="F307" s="220">
        <v>12.16</v>
      </c>
      <c r="G307" s="220">
        <v>488.68</v>
      </c>
    </row>
    <row r="308" spans="1:7" ht="25.5">
      <c r="A308" s="221" t="s">
        <v>40</v>
      </c>
      <c r="B308" s="219" t="s">
        <v>218</v>
      </c>
      <c r="C308" s="218">
        <v>200</v>
      </c>
      <c r="D308" s="220">
        <v>0.02</v>
      </c>
      <c r="E308" s="220"/>
      <c r="F308" s="220">
        <v>29.31</v>
      </c>
      <c r="G308" s="220">
        <v>123.16</v>
      </c>
    </row>
    <row r="309" spans="1:7">
      <c r="A309" s="218"/>
      <c r="B309" s="219" t="s">
        <v>11</v>
      </c>
      <c r="C309" s="218">
        <v>40</v>
      </c>
      <c r="D309" s="220">
        <v>3.04</v>
      </c>
      <c r="E309" s="220">
        <v>0.32</v>
      </c>
      <c r="F309" s="220">
        <v>19.68</v>
      </c>
      <c r="G309" s="220">
        <v>98.34</v>
      </c>
    </row>
    <row r="310" spans="1:7">
      <c r="A310" s="253" t="s">
        <v>244</v>
      </c>
      <c r="B310" s="254"/>
      <c r="C310" s="216">
        <f>SUM(C305:C309)</f>
        <v>850</v>
      </c>
      <c r="D310" s="218"/>
      <c r="E310" s="218"/>
      <c r="F310" s="218"/>
      <c r="G310" s="218"/>
    </row>
  </sheetData>
  <mergeCells count="67">
    <mergeCell ref="A55:B55"/>
    <mergeCell ref="A62:B62"/>
    <mergeCell ref="A8:C8"/>
    <mergeCell ref="A18:B18"/>
    <mergeCell ref="A25:B25"/>
    <mergeCell ref="A32:B32"/>
    <mergeCell ref="A84:B84"/>
    <mergeCell ref="A91:B91"/>
    <mergeCell ref="A40:B40"/>
    <mergeCell ref="A99:C99"/>
    <mergeCell ref="A26:C26"/>
    <mergeCell ref="A41:C41"/>
    <mergeCell ref="A56:C56"/>
    <mergeCell ref="A70:C70"/>
    <mergeCell ref="A85:C85"/>
    <mergeCell ref="A47:B47"/>
    <mergeCell ref="A98:B98"/>
    <mergeCell ref="A1:G2"/>
    <mergeCell ref="A3:G4"/>
    <mergeCell ref="A5:A6"/>
    <mergeCell ref="B5:B6"/>
    <mergeCell ref="C5:C6"/>
    <mergeCell ref="D5:F5"/>
    <mergeCell ref="G5:G6"/>
    <mergeCell ref="A69:B69"/>
    <mergeCell ref="A76:B76"/>
    <mergeCell ref="A144:B144"/>
    <mergeCell ref="A152:B152"/>
    <mergeCell ref="A160:B160"/>
    <mergeCell ref="A105:B105"/>
    <mergeCell ref="A113:B113"/>
    <mergeCell ref="A120:B120"/>
    <mergeCell ref="A128:B128"/>
    <mergeCell ref="A136:B136"/>
    <mergeCell ref="A114:C114"/>
    <mergeCell ref="A129:C129"/>
    <mergeCell ref="A178:C178"/>
    <mergeCell ref="A184:B184"/>
    <mergeCell ref="A192:B192"/>
    <mergeCell ref="A193:C193"/>
    <mergeCell ref="A145:C145"/>
    <mergeCell ref="A161:C161"/>
    <mergeCell ref="A169:B169"/>
    <mergeCell ref="A177:B177"/>
    <mergeCell ref="A221:B221"/>
    <mergeCell ref="A222:C222"/>
    <mergeCell ref="A228:B228"/>
    <mergeCell ref="A235:B235"/>
    <mergeCell ref="A199:B199"/>
    <mergeCell ref="A206:B206"/>
    <mergeCell ref="A207:C207"/>
    <mergeCell ref="A213:B213"/>
    <mergeCell ref="A259:B259"/>
    <mergeCell ref="A266:B266"/>
    <mergeCell ref="A267:C267"/>
    <mergeCell ref="A273:B273"/>
    <mergeCell ref="A236:C236"/>
    <mergeCell ref="A244:B244"/>
    <mergeCell ref="A252:B252"/>
    <mergeCell ref="A253:C253"/>
    <mergeCell ref="A296:C296"/>
    <mergeCell ref="A303:B303"/>
    <mergeCell ref="A310:B310"/>
    <mergeCell ref="A280:B280"/>
    <mergeCell ref="A281:C281"/>
    <mergeCell ref="A287:B287"/>
    <mergeCell ref="A295:B295"/>
  </mergeCells>
  <phoneticPr fontId="0" type="noConversion"/>
  <pageMargins left="0.75" right="0.75" top="1" bottom="1" header="0.5" footer="0.5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212</v>
      </c>
      <c r="C1" s="270" t="s">
        <v>189</v>
      </c>
      <c r="D1" s="270"/>
      <c r="E1" s="270"/>
      <c r="F1" s="270"/>
      <c r="G1" s="270"/>
      <c r="H1" s="270"/>
      <c r="I1" s="270"/>
      <c r="J1" s="270"/>
    </row>
    <row r="2" spans="1:17">
      <c r="B2" s="2" t="s">
        <v>210</v>
      </c>
      <c r="C2" s="271"/>
      <c r="D2" s="271"/>
      <c r="E2" s="271"/>
      <c r="F2" s="271"/>
      <c r="G2" s="271"/>
      <c r="H2" s="271"/>
      <c r="I2" s="271"/>
      <c r="J2" s="271"/>
    </row>
    <row r="3" spans="1:17" ht="33.75" customHeight="1">
      <c r="A3" s="3" t="s">
        <v>0</v>
      </c>
      <c r="B3" s="4" t="s">
        <v>6</v>
      </c>
      <c r="C3" s="5" t="s">
        <v>14</v>
      </c>
      <c r="D3" s="272" t="s">
        <v>16</v>
      </c>
      <c r="E3" s="273"/>
      <c r="F3" s="274"/>
      <c r="G3" s="275" t="s">
        <v>23</v>
      </c>
      <c r="H3" s="277" t="s">
        <v>53</v>
      </c>
      <c r="I3" s="278"/>
      <c r="J3" s="175" t="s">
        <v>52</v>
      </c>
      <c r="K3" s="266" t="s">
        <v>75</v>
      </c>
      <c r="L3" s="267"/>
      <c r="M3" s="267"/>
      <c r="N3" s="268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69" t="s">
        <v>13</v>
      </c>
      <c r="C6" s="263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262" t="s">
        <v>66</v>
      </c>
      <c r="C7" s="263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175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173</v>
      </c>
      <c r="B9" s="50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174</v>
      </c>
      <c r="B10" s="29" t="s">
        <v>196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177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264" t="s">
        <v>67</v>
      </c>
      <c r="C17" s="265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>
      <c r="A18" s="49" t="s">
        <v>186</v>
      </c>
      <c r="B18" s="50" t="s">
        <v>137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>
      <c r="A19" s="28" t="s">
        <v>178</v>
      </c>
      <c r="B19" s="29" t="s">
        <v>203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>
      <c r="A20" s="158" t="s">
        <v>182</v>
      </c>
      <c r="B20" s="29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176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62" t="s">
        <v>13</v>
      </c>
      <c r="C24" s="263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>
      <c r="A25" s="18"/>
      <c r="B25" s="262" t="s">
        <v>66</v>
      </c>
      <c r="C25" s="263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>
      <c r="A26" s="177" t="s">
        <v>174</v>
      </c>
      <c r="B26" s="178" t="s">
        <v>199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176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264" t="s">
        <v>67</v>
      </c>
      <c r="C31" s="265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>
      <c r="A33" s="161" t="s">
        <v>179</v>
      </c>
      <c r="B33" s="50" t="s">
        <v>171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>
      <c r="A36" s="163" t="s">
        <v>42</v>
      </c>
      <c r="B36" s="68" t="s">
        <v>216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69" t="s">
        <v>13</v>
      </c>
      <c r="C39" s="263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>
      <c r="A40" s="18"/>
      <c r="B40" s="262" t="s">
        <v>66</v>
      </c>
      <c r="C40" s="263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174</v>
      </c>
      <c r="B42" s="29" t="s">
        <v>201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217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264" t="s">
        <v>67</v>
      </c>
      <c r="C46" s="265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>
      <c r="A48" s="165" t="s">
        <v>117</v>
      </c>
      <c r="B48" s="29" t="s">
        <v>204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>
      <c r="A49" s="70" t="s">
        <v>131</v>
      </c>
      <c r="B49" s="50" t="s">
        <v>146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>
      <c r="A51" s="166" t="s">
        <v>176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62" t="s">
        <v>13</v>
      </c>
      <c r="C55" s="263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>
      <c r="A56" s="21"/>
      <c r="B56" s="262" t="s">
        <v>66</v>
      </c>
      <c r="C56" s="263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>
      <c r="A57" s="143" t="s">
        <v>192</v>
      </c>
      <c r="B57" s="50" t="s">
        <v>190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174</v>
      </c>
      <c r="B58" s="29" t="s">
        <v>200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>
      <c r="A59" s="163" t="s">
        <v>176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264" t="s">
        <v>67</v>
      </c>
      <c r="C62" s="265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>
      <c r="A63" s="167" t="s">
        <v>187</v>
      </c>
      <c r="B63" s="75" t="s">
        <v>147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>
      <c r="A64" s="165" t="s">
        <v>180</v>
      </c>
      <c r="B64" s="29" t="s">
        <v>205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>
      <c r="A65" s="28">
        <v>209</v>
      </c>
      <c r="B65" s="29" t="s">
        <v>149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>
      <c r="A66" s="168" t="s">
        <v>42</v>
      </c>
      <c r="B66" s="50" t="s">
        <v>216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62" t="s">
        <v>13</v>
      </c>
      <c r="C69" s="263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>
      <c r="A70" s="21"/>
      <c r="B70" s="262" t="s">
        <v>66</v>
      </c>
      <c r="C70" s="263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54" t="s">
        <v>193</v>
      </c>
      <c r="B72" s="79" t="s">
        <v>191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176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264" t="s">
        <v>67</v>
      </c>
      <c r="C76" s="265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>
      <c r="A77" s="49" t="s">
        <v>184</v>
      </c>
      <c r="B77" s="50" t="s">
        <v>151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>
      <c r="A78" s="28" t="s">
        <v>178</v>
      </c>
      <c r="B78" s="29" t="s">
        <v>203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>
      <c r="A79" s="28" t="s">
        <v>152</v>
      </c>
      <c r="B79" s="79" t="s">
        <v>153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154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>
      <c r="A81" s="28" t="s">
        <v>42</v>
      </c>
      <c r="B81" s="50" t="s">
        <v>217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62" t="s">
        <v>13</v>
      </c>
      <c r="C84" s="263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>
      <c r="A85" s="85"/>
      <c r="B85" s="262" t="s">
        <v>66</v>
      </c>
      <c r="C85" s="263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174</v>
      </c>
      <c r="B87" s="29" t="s">
        <v>198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176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264" t="s">
        <v>67</v>
      </c>
      <c r="C91" s="265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>
      <c r="A92" s="49" t="s">
        <v>142</v>
      </c>
      <c r="B92" s="50" t="s">
        <v>143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172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50" t="s">
        <v>156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>
      <c r="A95" s="158" t="s">
        <v>40</v>
      </c>
      <c r="B95" s="50" t="s">
        <v>218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62" t="s">
        <v>64</v>
      </c>
      <c r="B98" s="269"/>
      <c r="C98" s="263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>
      <c r="A99" s="109"/>
      <c r="B99" s="262" t="s">
        <v>66</v>
      </c>
      <c r="C99" s="263"/>
      <c r="D99" s="63">
        <f>D100+D101+D102+D103</f>
        <v>18.409700000000001</v>
      </c>
      <c r="E99" s="63">
        <f>E100+E101+E102+E103</f>
        <v>11.3093</v>
      </c>
      <c r="F99" s="63">
        <f>F100+F101+F102+F103</f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>
      <c r="A100" s="54" t="s">
        <v>174</v>
      </c>
      <c r="B100" s="29" t="s">
        <v>202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192</v>
      </c>
      <c r="B101" s="50" t="s">
        <v>190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41">
        <v>323</v>
      </c>
      <c r="B102" s="50" t="s">
        <v>158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264" t="s">
        <v>67</v>
      </c>
      <c r="C105" s="265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186</v>
      </c>
      <c r="B106" s="50" t="s">
        <v>137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>
      <c r="A107" s="166" t="s">
        <v>181</v>
      </c>
      <c r="B107" s="79" t="s">
        <v>206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195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>
      <c r="A110" s="165" t="s">
        <v>188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280" t="s">
        <v>13</v>
      </c>
      <c r="C113" s="280"/>
      <c r="D113" s="63">
        <f t="shared" ref="D113:O113" si="17">D114+D120</f>
        <v>39.03</v>
      </c>
      <c r="E113" s="63">
        <f t="shared" si="17"/>
        <v>49.67</v>
      </c>
      <c r="F113" s="63">
        <f t="shared" si="17"/>
        <v>181.64</v>
      </c>
      <c r="G113" s="63">
        <f>G114+G120</f>
        <v>1376.01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1373.8440000000001</v>
      </c>
    </row>
    <row r="114" spans="1:16">
      <c r="A114" s="84"/>
      <c r="B114" s="262" t="s">
        <v>66</v>
      </c>
      <c r="C114" s="263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>
      <c r="A115" s="177" t="s">
        <v>174</v>
      </c>
      <c r="B115" s="178" t="s">
        <v>199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176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264" t="s">
        <v>67</v>
      </c>
      <c r="C120" s="265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8">H121+H122+H123+H124+H125+H126</f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768.64200000000005</v>
      </c>
    </row>
    <row r="121" spans="1:16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>
      <c r="A122" s="28" t="s">
        <v>130</v>
      </c>
      <c r="B122" s="29" t="s">
        <v>207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>
      <c r="A123" s="70" t="s">
        <v>131</v>
      </c>
      <c r="B123" s="50" t="s">
        <v>146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>
      <c r="A124" s="28" t="s">
        <v>164</v>
      </c>
      <c r="B124" s="50" t="s">
        <v>165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>
      <c r="A125" s="168" t="s">
        <v>42</v>
      </c>
      <c r="B125" s="50" t="s">
        <v>216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62" t="s">
        <v>13</v>
      </c>
      <c r="C128" s="263"/>
      <c r="D128" s="63">
        <f>D129+D136</f>
        <v>49.05</v>
      </c>
      <c r="E128" s="63">
        <f t="shared" ref="E128:O128" si="19">E129+E136</f>
        <v>36.269999999999996</v>
      </c>
      <c r="F128" s="63">
        <f t="shared" si="19"/>
        <v>179.81</v>
      </c>
      <c r="G128" s="63">
        <f>G129+G136</f>
        <v>1288.0619999999999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1287.6420000000001</v>
      </c>
    </row>
    <row r="129" spans="1:37">
      <c r="A129" s="119"/>
      <c r="B129" s="262" t="s">
        <v>66</v>
      </c>
      <c r="C129" s="263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0">H130+H131+H132+H133+H134</f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537.19200000000001</v>
      </c>
    </row>
    <row r="130" spans="1:37" ht="13.5" customHeight="1">
      <c r="A130" s="49"/>
      <c r="B130" s="50" t="s">
        <v>166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167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>
      <c r="A133" s="56" t="s">
        <v>42</v>
      </c>
      <c r="B133" s="50" t="s">
        <v>216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264" t="s">
        <v>67</v>
      </c>
      <c r="C136" s="265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1">H137+H138+H139+H140+H141+H142</f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ref="P136:P143" si="22">(D136+F136)*4.2+E136*9</f>
        <v>750.45</v>
      </c>
    </row>
    <row r="137" spans="1:37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2"/>
        <v>112.66800000000001</v>
      </c>
    </row>
    <row r="138" spans="1:37" ht="24">
      <c r="A138" s="28" t="s">
        <v>124</v>
      </c>
      <c r="B138" s="29" t="s">
        <v>172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120.26400000000002</v>
      </c>
    </row>
    <row r="139" spans="1:37">
      <c r="A139" s="49">
        <v>370</v>
      </c>
      <c r="B139" s="50" t="s">
        <v>140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249.99000000000004</v>
      </c>
    </row>
    <row r="141" spans="1:37">
      <c r="A141" s="33" t="s">
        <v>176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69" t="s">
        <v>9</v>
      </c>
      <c r="C144" s="263"/>
      <c r="D144" s="63">
        <f>D145+D152</f>
        <v>45.089999999999989</v>
      </c>
      <c r="E144" s="63">
        <f t="shared" ref="E144:O144" si="23">E145+E152</f>
        <v>46.26</v>
      </c>
      <c r="F144" s="63">
        <f t="shared" si="23"/>
        <v>160.65</v>
      </c>
      <c r="G144" s="63">
        <f>G145+G152</f>
        <v>1282.06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9"/>
      <c r="Q144" s="279"/>
      <c r="R144" s="27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262" t="s">
        <v>66</v>
      </c>
      <c r="C145" s="263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50" t="s">
        <v>168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9" t="s">
        <v>183</v>
      </c>
      <c r="B147" s="29" t="s">
        <v>157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185</v>
      </c>
      <c r="B148" s="50" t="s">
        <v>169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176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264" t="s">
        <v>67</v>
      </c>
      <c r="C152" s="265"/>
      <c r="D152" s="63">
        <f>D153+D154+D155+D156+D157+D158</f>
        <v>20.229999999999997</v>
      </c>
      <c r="E152" s="63">
        <f t="shared" ref="E152:O152" si="26">E153+E154+E155+E156+E157+E158</f>
        <v>33.22</v>
      </c>
      <c r="F152" s="63">
        <f t="shared" si="26"/>
        <v>85.830000000000013</v>
      </c>
      <c r="G152" s="63">
        <f>G153+G154+G155+G156+G157+G158</f>
        <v>745.24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187</v>
      </c>
      <c r="B153" s="75" t="s">
        <v>147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208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150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>
      <c r="A157" s="81" t="s">
        <v>42</v>
      </c>
      <c r="B157" s="50" t="s">
        <v>216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17:C17"/>
    <mergeCell ref="B24:C24"/>
    <mergeCell ref="B76:C76"/>
    <mergeCell ref="B84:C84"/>
    <mergeCell ref="B85:C85"/>
    <mergeCell ref="B91:C91"/>
    <mergeCell ref="B25:C25"/>
    <mergeCell ref="B31:C31"/>
    <mergeCell ref="K3:N3"/>
    <mergeCell ref="B6:C6"/>
    <mergeCell ref="B39:C39"/>
    <mergeCell ref="C1:J2"/>
    <mergeCell ref="D3:F3"/>
    <mergeCell ref="G3:G4"/>
    <mergeCell ref="H3:I3"/>
    <mergeCell ref="B7:C7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>
      <c r="B1" s="2" t="s">
        <v>211</v>
      </c>
      <c r="C1" s="270" t="s">
        <v>189</v>
      </c>
      <c r="D1" s="270"/>
      <c r="E1" s="270"/>
      <c r="F1" s="270"/>
      <c r="G1" s="270"/>
      <c r="H1" s="270"/>
      <c r="I1" s="270"/>
      <c r="J1" s="270"/>
    </row>
    <row r="2" spans="1:17">
      <c r="B2" s="2" t="s">
        <v>209</v>
      </c>
      <c r="C2" s="271"/>
      <c r="D2" s="271"/>
      <c r="E2" s="271"/>
      <c r="F2" s="271"/>
      <c r="G2" s="271"/>
      <c r="H2" s="271"/>
      <c r="I2" s="271"/>
      <c r="J2" s="271"/>
    </row>
    <row r="3" spans="1:17" ht="33.75" customHeight="1">
      <c r="A3" s="3" t="s">
        <v>0</v>
      </c>
      <c r="B3" s="4" t="s">
        <v>6</v>
      </c>
      <c r="C3" s="5" t="s">
        <v>14</v>
      </c>
      <c r="D3" s="272" t="s">
        <v>16</v>
      </c>
      <c r="E3" s="273"/>
      <c r="F3" s="274"/>
      <c r="G3" s="275" t="s">
        <v>23</v>
      </c>
      <c r="H3" s="277" t="s">
        <v>53</v>
      </c>
      <c r="I3" s="278"/>
      <c r="J3" s="175" t="s">
        <v>52</v>
      </c>
      <c r="K3" s="266" t="s">
        <v>75</v>
      </c>
      <c r="L3" s="267"/>
      <c r="M3" s="267"/>
      <c r="N3" s="268"/>
    </row>
    <row r="4" spans="1:17" ht="34.5" customHeight="1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>
      <c r="A6" s="18" t="s">
        <v>3</v>
      </c>
      <c r="B6" s="269" t="s">
        <v>13</v>
      </c>
      <c r="C6" s="263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>
      <c r="A8" s="22" t="s">
        <v>175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>
      <c r="A9" s="22" t="s">
        <v>173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>
      <c r="A10" s="28" t="s">
        <v>174</v>
      </c>
      <c r="B10" s="29" t="s">
        <v>196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>
      <c r="A12" s="28" t="s">
        <v>177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>
      <c r="A18" s="49" t="s">
        <v>186</v>
      </c>
      <c r="B18" s="50" t="s">
        <v>137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>
      <c r="A19" s="28" t="s">
        <v>178</v>
      </c>
      <c r="B19" s="29" t="s">
        <v>203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>
      <c r="A20" s="158" t="s">
        <v>182</v>
      </c>
      <c r="B20" s="32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>
      <c r="A21" s="159" t="s">
        <v>176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>
      <c r="A24" s="18" t="s">
        <v>4</v>
      </c>
      <c r="B24" s="262" t="s">
        <v>13</v>
      </c>
      <c r="C24" s="263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>
      <c r="A26" s="126" t="s">
        <v>174</v>
      </c>
      <c r="B26" s="50" t="s">
        <v>199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>
      <c r="A28" s="160" t="s">
        <v>176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>
      <c r="A33" s="161" t="s">
        <v>179</v>
      </c>
      <c r="B33" s="50" t="s">
        <v>171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>
      <c r="A36" s="163" t="s">
        <v>42</v>
      </c>
      <c r="B36" s="68" t="s">
        <v>216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>
      <c r="A39" s="18" t="s">
        <v>5</v>
      </c>
      <c r="B39" s="269" t="s">
        <v>13</v>
      </c>
      <c r="C39" s="263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>
      <c r="A42" s="54" t="s">
        <v>174</v>
      </c>
      <c r="B42" s="29" t="s">
        <v>201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>
      <c r="A43" s="22" t="s">
        <v>42</v>
      </c>
      <c r="B43" s="71" t="s">
        <v>217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>
      <c r="A48" s="165" t="s">
        <v>117</v>
      </c>
      <c r="B48" s="146" t="s">
        <v>213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>
      <c r="A49" s="70" t="s">
        <v>131</v>
      </c>
      <c r="B49" s="73" t="s">
        <v>146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>
      <c r="A51" s="166" t="s">
        <v>176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>
      <c r="A55" s="21" t="s">
        <v>27</v>
      </c>
      <c r="B55" s="262" t="s">
        <v>13</v>
      </c>
      <c r="C55" s="263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>
      <c r="A57" s="143" t="s">
        <v>192</v>
      </c>
      <c r="B57" s="50" t="s">
        <v>190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>
      <c r="A58" s="54" t="s">
        <v>174</v>
      </c>
      <c r="B58" s="29" t="s">
        <v>200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>
      <c r="A59" s="163" t="s">
        <v>176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>
      <c r="A63" s="167" t="s">
        <v>187</v>
      </c>
      <c r="B63" s="75" t="s">
        <v>147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>
      <c r="A64" s="165" t="s">
        <v>180</v>
      </c>
      <c r="B64" s="29" t="s">
        <v>205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>
      <c r="A65" s="28">
        <v>209</v>
      </c>
      <c r="B65" s="29" t="s">
        <v>149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>
      <c r="A66" s="168" t="s">
        <v>42</v>
      </c>
      <c r="B66" s="50" t="s">
        <v>216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>
      <c r="A69" s="21" t="s">
        <v>28</v>
      </c>
      <c r="B69" s="262" t="s">
        <v>13</v>
      </c>
      <c r="C69" s="263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>
      <c r="A72" s="170" t="s">
        <v>193</v>
      </c>
      <c r="B72" s="79" t="s">
        <v>191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>
      <c r="A73" s="169" t="s">
        <v>176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>
      <c r="A77" s="49" t="s">
        <v>184</v>
      </c>
      <c r="B77" s="50" t="s">
        <v>151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>
      <c r="A78" s="28" t="s">
        <v>178</v>
      </c>
      <c r="B78" s="32" t="s">
        <v>214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>
      <c r="A79" s="28" t="s">
        <v>152</v>
      </c>
      <c r="B79" s="79" t="s">
        <v>153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>
      <c r="A80" s="81" t="s">
        <v>134</v>
      </c>
      <c r="B80" s="50" t="s">
        <v>154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>
      <c r="A81" s="28" t="s">
        <v>42</v>
      </c>
      <c r="B81" s="50" t="s">
        <v>217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>
      <c r="A84" s="84" t="s">
        <v>29</v>
      </c>
      <c r="B84" s="262" t="s">
        <v>13</v>
      </c>
      <c r="C84" s="263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>
      <c r="A87" s="28" t="s">
        <v>174</v>
      </c>
      <c r="B87" s="29" t="s">
        <v>198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>
      <c r="A88" s="33" t="s">
        <v>176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>
      <c r="A92" s="10" t="s">
        <v>142</v>
      </c>
      <c r="B92" s="69" t="s">
        <v>143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>
      <c r="A93" s="28" t="s">
        <v>124</v>
      </c>
      <c r="B93" s="29" t="s">
        <v>172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>
      <c r="A94" s="70">
        <v>218</v>
      </c>
      <c r="B94" s="27" t="s">
        <v>156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>
      <c r="A95" s="158" t="s">
        <v>40</v>
      </c>
      <c r="B95" s="50" t="s">
        <v>218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>
      <c r="A98" s="262" t="s">
        <v>64</v>
      </c>
      <c r="B98" s="269"/>
      <c r="C98" s="263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>
      <c r="A100" s="54" t="s">
        <v>174</v>
      </c>
      <c r="B100" s="29" t="s">
        <v>202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>
      <c r="A101" s="143" t="s">
        <v>192</v>
      </c>
      <c r="B101" s="50" t="s">
        <v>190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>
      <c r="A102" s="81">
        <v>323</v>
      </c>
      <c r="B102" s="27" t="s">
        <v>158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>
      <c r="A106" s="49" t="s">
        <v>186</v>
      </c>
      <c r="B106" s="50" t="s">
        <v>137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>
      <c r="A107" s="166" t="s">
        <v>181</v>
      </c>
      <c r="B107" s="79" t="s">
        <v>206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>
      <c r="A108" s="166">
        <v>203</v>
      </c>
      <c r="B108" s="79" t="s">
        <v>195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>
      <c r="A110" s="165" t="s">
        <v>188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>
      <c r="A115" s="54" t="s">
        <v>174</v>
      </c>
      <c r="B115" s="29" t="s">
        <v>199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>
      <c r="A117" s="33" t="s">
        <v>176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>
      <c r="A122" s="28" t="s">
        <v>130</v>
      </c>
      <c r="B122" s="29" t="s">
        <v>215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>
      <c r="A123" s="70" t="s">
        <v>131</v>
      </c>
      <c r="B123" s="27" t="s">
        <v>146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>
      <c r="A124" s="28" t="s">
        <v>164</v>
      </c>
      <c r="B124" s="27" t="s">
        <v>165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>
      <c r="A125" s="168" t="s">
        <v>42</v>
      </c>
      <c r="B125" s="50" t="s">
        <v>216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>
      <c r="A128" s="84" t="s">
        <v>31</v>
      </c>
      <c r="B128" s="262" t="s">
        <v>13</v>
      </c>
      <c r="C128" s="263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>
      <c r="A130" s="49"/>
      <c r="B130" s="50" t="s">
        <v>166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>
      <c r="A131" s="54" t="s">
        <v>39</v>
      </c>
      <c r="B131" s="120" t="s">
        <v>167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>
      <c r="A133" s="56" t="s">
        <v>42</v>
      </c>
      <c r="B133" s="50" t="s">
        <v>216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>
      <c r="A138" s="28" t="s">
        <v>124</v>
      </c>
      <c r="B138" s="29" t="s">
        <v>172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>
      <c r="A139" s="49">
        <v>370</v>
      </c>
      <c r="B139" s="50" t="s">
        <v>140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>
      <c r="A141" s="33" t="s">
        <v>176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>
      <c r="A144" s="119" t="s">
        <v>63</v>
      </c>
      <c r="B144" s="269" t="s">
        <v>13</v>
      </c>
      <c r="C144" s="263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79"/>
      <c r="Q144" s="279"/>
      <c r="R144" s="27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>
      <c r="A146" s="22">
        <v>110</v>
      </c>
      <c r="B146" s="27" t="s">
        <v>168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>
      <c r="A147" s="157" t="s">
        <v>183</v>
      </c>
      <c r="B147" s="32" t="s">
        <v>157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>
      <c r="A148" s="35" t="s">
        <v>185</v>
      </c>
      <c r="B148" s="27" t="s">
        <v>169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>
      <c r="A149" s="33" t="s">
        <v>176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>
      <c r="A153" s="167" t="s">
        <v>187</v>
      </c>
      <c r="B153" s="75" t="s">
        <v>147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>
      <c r="A154" s="160" t="s">
        <v>101</v>
      </c>
      <c r="B154" s="29" t="s">
        <v>208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>
      <c r="A155" s="28">
        <v>298</v>
      </c>
      <c r="B155" s="29" t="s">
        <v>150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>
      <c r="A157" s="81" t="s">
        <v>42</v>
      </c>
      <c r="B157" s="50" t="s">
        <v>216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K3:N3"/>
    <mergeCell ref="B6:C6"/>
    <mergeCell ref="B128:C128"/>
    <mergeCell ref="B144:C144"/>
    <mergeCell ref="C1:J2"/>
    <mergeCell ref="D3:F3"/>
    <mergeCell ref="G3:G4"/>
    <mergeCell ref="H3:I3"/>
    <mergeCell ref="P144:R144"/>
    <mergeCell ref="B24:C24"/>
    <mergeCell ref="B39:C39"/>
    <mergeCell ref="B55:C55"/>
    <mergeCell ref="B69:C69"/>
    <mergeCell ref="B84:C84"/>
    <mergeCell ref="A98:C98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AA310"/>
  <sheetViews>
    <sheetView zoomScale="106" zoomScaleNormal="106" workbookViewId="0">
      <selection activeCell="D237" sqref="D237:G237"/>
    </sheetView>
  </sheetViews>
  <sheetFormatPr defaultRowHeight="12.75"/>
  <cols>
    <col min="1" max="1" width="11" style="195" customWidth="1"/>
    <col min="2" max="2" width="34.28515625" style="209" customWidth="1"/>
    <col min="3" max="3" width="11.42578125" style="195" customWidth="1"/>
    <col min="4" max="4" width="7.28515625" style="195" customWidth="1"/>
    <col min="5" max="5" width="7.7109375" style="195" customWidth="1"/>
    <col min="6" max="6" width="7.42578125" style="195" customWidth="1"/>
    <col min="7" max="7" width="11.5703125" style="195" customWidth="1"/>
    <col min="8" max="8" width="12.85546875" style="184" customWidth="1"/>
    <col min="9" max="16384" width="9.140625" style="184"/>
  </cols>
  <sheetData>
    <row r="1" spans="1:7" ht="12.75" customHeight="1">
      <c r="A1" s="281" t="s">
        <v>252</v>
      </c>
      <c r="B1" s="281"/>
      <c r="C1" s="281"/>
      <c r="D1" s="281"/>
      <c r="E1" s="281"/>
      <c r="F1" s="281"/>
      <c r="G1" s="281"/>
    </row>
    <row r="2" spans="1:7">
      <c r="A2" s="281"/>
      <c r="B2" s="281"/>
      <c r="C2" s="281"/>
      <c r="D2" s="281"/>
      <c r="E2" s="281"/>
      <c r="F2" s="281"/>
      <c r="G2" s="281"/>
    </row>
    <row r="3" spans="1:7" ht="12.75" customHeight="1">
      <c r="A3" s="282" t="s">
        <v>253</v>
      </c>
      <c r="B3" s="282"/>
      <c r="C3" s="282"/>
      <c r="D3" s="282"/>
      <c r="E3" s="282"/>
      <c r="F3" s="282"/>
      <c r="G3" s="282"/>
    </row>
    <row r="4" spans="1:7" ht="45" customHeight="1">
      <c r="A4" s="283"/>
      <c r="B4" s="283"/>
      <c r="C4" s="283"/>
      <c r="D4" s="283"/>
      <c r="E4" s="283"/>
      <c r="F4" s="283"/>
      <c r="G4" s="283"/>
    </row>
    <row r="5" spans="1:7" ht="33.75" customHeight="1">
      <c r="A5" s="256" t="s">
        <v>231</v>
      </c>
      <c r="B5" s="256" t="s">
        <v>232</v>
      </c>
      <c r="C5" s="256" t="s">
        <v>233</v>
      </c>
      <c r="D5" s="256" t="s">
        <v>234</v>
      </c>
      <c r="E5" s="256"/>
      <c r="F5" s="256"/>
      <c r="G5" s="256" t="s">
        <v>23</v>
      </c>
    </row>
    <row r="6" spans="1:7" ht="34.5" customHeight="1">
      <c r="A6" s="256"/>
      <c r="B6" s="256"/>
      <c r="C6" s="256"/>
      <c r="D6" s="216" t="s">
        <v>17</v>
      </c>
      <c r="E6" s="216" t="s">
        <v>19</v>
      </c>
      <c r="F6" s="216" t="s">
        <v>21</v>
      </c>
      <c r="G6" s="256"/>
    </row>
    <row r="7" spans="1:7">
      <c r="A7" s="216" t="s">
        <v>2</v>
      </c>
      <c r="B7" s="216" t="s">
        <v>8</v>
      </c>
      <c r="C7" s="216" t="s">
        <v>15</v>
      </c>
      <c r="D7" s="216" t="s">
        <v>18</v>
      </c>
      <c r="E7" s="216" t="s">
        <v>20</v>
      </c>
      <c r="F7" s="216" t="s">
        <v>22</v>
      </c>
      <c r="G7" s="216" t="s">
        <v>24</v>
      </c>
    </row>
    <row r="8" spans="1:7" ht="27.95" customHeight="1">
      <c r="A8" s="256" t="s">
        <v>235</v>
      </c>
      <c r="B8" s="256"/>
      <c r="C8" s="256"/>
      <c r="D8" s="215">
        <f>D9+D19</f>
        <v>41.5154</v>
      </c>
      <c r="E8" s="215">
        <f>E9+E19</f>
        <v>55.384599999999999</v>
      </c>
      <c r="F8" s="215">
        <f>F9+F19</f>
        <v>224.18610000000001</v>
      </c>
      <c r="G8" s="215">
        <f>G9+G19</f>
        <v>1585.77</v>
      </c>
    </row>
    <row r="9" spans="1:7">
      <c r="A9" s="216"/>
      <c r="B9" s="217" t="s">
        <v>66</v>
      </c>
      <c r="C9" s="216"/>
      <c r="D9" s="215">
        <f>D10+D11+D12+D13+D14+D15</f>
        <v>18.802499999999998</v>
      </c>
      <c r="E9" s="215">
        <f>E10+E11+E12+E13+E14+E15</f>
        <v>21.982500000000002</v>
      </c>
      <c r="F9" s="215">
        <f>F10+F11+F12+F13+F14+F15</f>
        <v>102.98750000000001</v>
      </c>
      <c r="G9" s="215">
        <f>G10+G11+G12+G13+G14+G15</f>
        <v>691.20499999999993</v>
      </c>
    </row>
    <row r="10" spans="1:7">
      <c r="A10" s="218" t="s">
        <v>175</v>
      </c>
      <c r="B10" s="219" t="s">
        <v>35</v>
      </c>
      <c r="C10" s="218">
        <v>10</v>
      </c>
      <c r="D10" s="220">
        <v>2.6</v>
      </c>
      <c r="E10" s="220">
        <v>2.65</v>
      </c>
      <c r="F10" s="220">
        <v>0.35</v>
      </c>
      <c r="G10" s="220">
        <v>36.24</v>
      </c>
    </row>
    <row r="11" spans="1:7">
      <c r="A11" s="218" t="s">
        <v>173</v>
      </c>
      <c r="B11" s="219" t="s">
        <v>136</v>
      </c>
      <c r="C11" s="218">
        <v>5</v>
      </c>
      <c r="D11" s="220">
        <v>0.05</v>
      </c>
      <c r="E11" s="220">
        <v>3.63</v>
      </c>
      <c r="F11" s="220">
        <v>7.0000000000000007E-2</v>
      </c>
      <c r="G11" s="220">
        <v>33.11</v>
      </c>
    </row>
    <row r="12" spans="1:7" ht="25.5">
      <c r="A12" s="218" t="s">
        <v>174</v>
      </c>
      <c r="B12" s="219" t="s">
        <v>196</v>
      </c>
      <c r="C12" s="218">
        <v>255</v>
      </c>
      <c r="D12" s="220">
        <f>6.81*1.25</f>
        <v>8.5124999999999993</v>
      </c>
      <c r="E12" s="220">
        <f>10.45*1.25</f>
        <v>13.0625</v>
      </c>
      <c r="F12" s="220">
        <f>29.51*1.25</f>
        <v>36.887500000000003</v>
      </c>
      <c r="G12" s="220">
        <f>246.6*1.25</f>
        <v>308.25</v>
      </c>
    </row>
    <row r="13" spans="1:7">
      <c r="A13" s="188"/>
      <c r="B13" s="182" t="s">
        <v>135</v>
      </c>
      <c r="C13" s="238">
        <v>80</v>
      </c>
      <c r="D13" s="189">
        <v>3.84</v>
      </c>
      <c r="E13" s="189">
        <v>2.2400000000000002</v>
      </c>
      <c r="F13" s="189">
        <v>31.08</v>
      </c>
      <c r="G13" s="189">
        <v>148.68</v>
      </c>
    </row>
    <row r="14" spans="1:7">
      <c r="A14" s="236" t="s">
        <v>176</v>
      </c>
      <c r="B14" s="237" t="s">
        <v>10</v>
      </c>
      <c r="C14" s="238">
        <v>200</v>
      </c>
      <c r="D14" s="239">
        <v>0</v>
      </c>
      <c r="E14" s="239">
        <v>0</v>
      </c>
      <c r="F14" s="239">
        <v>10</v>
      </c>
      <c r="G14" s="239">
        <v>42</v>
      </c>
    </row>
    <row r="15" spans="1:7">
      <c r="A15" s="218"/>
      <c r="B15" s="219" t="s">
        <v>11</v>
      </c>
      <c r="C15" s="218">
        <v>50</v>
      </c>
      <c r="D15" s="220">
        <f>3.04*1.25</f>
        <v>3.8</v>
      </c>
      <c r="E15" s="220">
        <f>0.32*1.25</f>
        <v>0.4</v>
      </c>
      <c r="F15" s="220">
        <f>19.68*1.25</f>
        <v>24.6</v>
      </c>
      <c r="G15" s="220">
        <f>98.34*1.25</f>
        <v>122.92500000000001</v>
      </c>
    </row>
    <row r="16" spans="1:7" hidden="1">
      <c r="A16" s="222"/>
      <c r="B16" s="219"/>
      <c r="C16" s="222"/>
      <c r="D16" s="220"/>
      <c r="E16" s="220"/>
      <c r="F16" s="220"/>
      <c r="G16" s="220"/>
    </row>
    <row r="17" spans="1:7" hidden="1">
      <c r="A17" s="221"/>
      <c r="B17" s="226"/>
      <c r="C17" s="221"/>
      <c r="D17" s="224"/>
      <c r="E17" s="224"/>
      <c r="F17" s="224"/>
      <c r="G17" s="224"/>
    </row>
    <row r="18" spans="1:7">
      <c r="A18" s="257" t="s">
        <v>244</v>
      </c>
      <c r="B18" s="257"/>
      <c r="C18" s="223">
        <f>SUM(C10:C17)</f>
        <v>600</v>
      </c>
      <c r="D18" s="224"/>
      <c r="E18" s="224"/>
      <c r="F18" s="224"/>
      <c r="G18" s="224"/>
    </row>
    <row r="19" spans="1:7">
      <c r="A19" s="221"/>
      <c r="B19" s="240" t="s">
        <v>67</v>
      </c>
      <c r="C19" s="223"/>
      <c r="D19" s="229">
        <f>D20+D21+D22+D23+D24</f>
        <v>22.712900000000001</v>
      </c>
      <c r="E19" s="229">
        <f>E20+E21+E22+E23+E24</f>
        <v>33.402099999999997</v>
      </c>
      <c r="F19" s="229">
        <f>F20+F21+F22+F23+F24</f>
        <v>121.1986</v>
      </c>
      <c r="G19" s="229">
        <f>G20+G21+G22+G23+G24</f>
        <v>894.56500000000005</v>
      </c>
    </row>
    <row r="20" spans="1:7">
      <c r="A20" s="218" t="s">
        <v>186</v>
      </c>
      <c r="B20" s="219" t="s">
        <v>137</v>
      </c>
      <c r="C20" s="218">
        <v>100</v>
      </c>
      <c r="D20" s="220">
        <f>0.94*1.66</f>
        <v>1.5603999999999998</v>
      </c>
      <c r="E20" s="220">
        <f>4.06*1.66</f>
        <v>6.7395999999999994</v>
      </c>
      <c r="F20" s="220">
        <f>5.96*1.66</f>
        <v>9.8935999999999993</v>
      </c>
      <c r="G20" s="220">
        <v>108.76</v>
      </c>
    </row>
    <row r="21" spans="1:7" ht="15" customHeight="1">
      <c r="A21" s="218" t="s">
        <v>178</v>
      </c>
      <c r="B21" s="219" t="s">
        <v>138</v>
      </c>
      <c r="C21" s="218">
        <v>255</v>
      </c>
      <c r="D21" s="220">
        <f>3.09*1.25</f>
        <v>3.8624999999999998</v>
      </c>
      <c r="E21" s="220">
        <f>4.61*1.25</f>
        <v>5.7625000000000002</v>
      </c>
      <c r="F21" s="220">
        <f>12.54*1.25</f>
        <v>15.674999999999999</v>
      </c>
      <c r="G21" s="220">
        <f>107.36*1.25</f>
        <v>134.19999999999999</v>
      </c>
    </row>
    <row r="22" spans="1:7">
      <c r="A22" s="221" t="s">
        <v>290</v>
      </c>
      <c r="B22" s="219" t="s">
        <v>294</v>
      </c>
      <c r="C22" s="218">
        <v>200</v>
      </c>
      <c r="D22" s="220">
        <v>12.49</v>
      </c>
      <c r="E22" s="220">
        <v>20.399999999999999</v>
      </c>
      <c r="F22" s="220">
        <v>40.03</v>
      </c>
      <c r="G22" s="220">
        <v>393.68</v>
      </c>
    </row>
    <row r="23" spans="1:7" ht="25.5">
      <c r="A23" s="238" t="s">
        <v>42</v>
      </c>
      <c r="B23" s="237" t="s">
        <v>217</v>
      </c>
      <c r="C23" s="238">
        <v>200</v>
      </c>
      <c r="D23" s="239">
        <v>1</v>
      </c>
      <c r="E23" s="239">
        <v>0.1</v>
      </c>
      <c r="F23" s="239">
        <v>31</v>
      </c>
      <c r="G23" s="239">
        <v>135</v>
      </c>
    </row>
    <row r="24" spans="1:7">
      <c r="A24" s="218"/>
      <c r="B24" s="219" t="s">
        <v>11</v>
      </c>
      <c r="C24" s="218">
        <v>50</v>
      </c>
      <c r="D24" s="220">
        <f>3.04*1.25</f>
        <v>3.8</v>
      </c>
      <c r="E24" s="220">
        <f>0.32*1.25</f>
        <v>0.4</v>
      </c>
      <c r="F24" s="220">
        <f>19.68*1.25</f>
        <v>24.6</v>
      </c>
      <c r="G24" s="220">
        <f>98.34*1.25</f>
        <v>122.92500000000001</v>
      </c>
    </row>
    <row r="25" spans="1:7">
      <c r="A25" s="257" t="s">
        <v>244</v>
      </c>
      <c r="B25" s="257"/>
      <c r="C25" s="223">
        <f>SUM(C20:C24)</f>
        <v>805</v>
      </c>
      <c r="D25" s="224"/>
      <c r="E25" s="224"/>
      <c r="F25" s="224"/>
      <c r="G25" s="224"/>
    </row>
    <row r="26" spans="1:7" ht="27.95" customHeight="1">
      <c r="A26" s="256" t="s">
        <v>236</v>
      </c>
      <c r="B26" s="256"/>
      <c r="C26" s="256"/>
      <c r="D26" s="215">
        <f>D27+D33</f>
        <v>41.102440000000001</v>
      </c>
      <c r="E26" s="215">
        <f>E27+E33</f>
        <v>67.293459999999996</v>
      </c>
      <c r="F26" s="215">
        <f>F27+F33</f>
        <v>223.66628</v>
      </c>
      <c r="G26" s="215">
        <f>G27+G33</f>
        <v>1717.6085</v>
      </c>
    </row>
    <row r="27" spans="1:7">
      <c r="A27" s="216"/>
      <c r="B27" s="217" t="s">
        <v>66</v>
      </c>
      <c r="C27" s="216"/>
      <c r="D27" s="215">
        <f>D28+D29+D30+D31</f>
        <v>18.0625</v>
      </c>
      <c r="E27" s="215">
        <f>E28+E29+E30+E31</f>
        <v>13.1675</v>
      </c>
      <c r="F27" s="215">
        <f>F28+F29+F30+F31</f>
        <v>121.3775</v>
      </c>
      <c r="G27" s="215">
        <f>G28+G29+G30+G31</f>
        <v>705.83500000000004</v>
      </c>
    </row>
    <row r="28" spans="1:7" ht="25.5">
      <c r="A28" s="218" t="s">
        <v>174</v>
      </c>
      <c r="B28" s="219" t="s">
        <v>199</v>
      </c>
      <c r="C28" s="218">
        <v>253</v>
      </c>
      <c r="D28" s="220">
        <f>7.81*1.25</f>
        <v>9.7624999999999993</v>
      </c>
      <c r="E28" s="220">
        <f>4.55*1.25</f>
        <v>5.6875</v>
      </c>
      <c r="F28" s="220">
        <f>33.47*1.25</f>
        <v>41.837499999999999</v>
      </c>
      <c r="G28" s="220">
        <v>267.91000000000003</v>
      </c>
    </row>
    <row r="29" spans="1:7">
      <c r="A29" s="221"/>
      <c r="B29" s="219" t="s">
        <v>62</v>
      </c>
      <c r="C29" s="218">
        <v>60</v>
      </c>
      <c r="D29" s="220">
        <f>1.5*3</f>
        <v>4.5</v>
      </c>
      <c r="E29" s="220">
        <f>2.36*3</f>
        <v>7.08</v>
      </c>
      <c r="F29" s="220">
        <f>14.98*3</f>
        <v>44.94</v>
      </c>
      <c r="G29" s="220">
        <f>91*3</f>
        <v>273</v>
      </c>
    </row>
    <row r="30" spans="1:7">
      <c r="A30" s="221" t="s">
        <v>176</v>
      </c>
      <c r="B30" s="219" t="s">
        <v>10</v>
      </c>
      <c r="C30" s="218">
        <v>200</v>
      </c>
      <c r="D30" s="220">
        <v>0</v>
      </c>
      <c r="E30" s="220">
        <v>0</v>
      </c>
      <c r="F30" s="220">
        <v>10</v>
      </c>
      <c r="G30" s="220">
        <v>42</v>
      </c>
    </row>
    <row r="31" spans="1:7">
      <c r="A31" s="218"/>
      <c r="B31" s="219" t="s">
        <v>11</v>
      </c>
      <c r="C31" s="218">
        <v>50</v>
      </c>
      <c r="D31" s="220">
        <f>3.04*1.25</f>
        <v>3.8</v>
      </c>
      <c r="E31" s="220">
        <f>0.32*1.25</f>
        <v>0.4</v>
      </c>
      <c r="F31" s="220">
        <f>19.68*1.25</f>
        <v>24.6</v>
      </c>
      <c r="G31" s="220">
        <f>98.34*1.25</f>
        <v>122.92500000000001</v>
      </c>
    </row>
    <row r="32" spans="1:7">
      <c r="A32" s="257" t="s">
        <v>244</v>
      </c>
      <c r="B32" s="257"/>
      <c r="C32" s="216">
        <f>SUM(C28:C31)</f>
        <v>563</v>
      </c>
      <c r="D32" s="220"/>
      <c r="E32" s="220"/>
      <c r="F32" s="220"/>
      <c r="G32" s="220"/>
    </row>
    <row r="33" spans="1:7">
      <c r="A33" s="218"/>
      <c r="B33" s="240" t="s">
        <v>67</v>
      </c>
      <c r="C33" s="216"/>
      <c r="D33" s="215">
        <f>D34+D35+D36+D37+D38+D39</f>
        <v>23.039939999999998</v>
      </c>
      <c r="E33" s="215">
        <f>E34+E35+E36+E37+E38+E39</f>
        <v>54.125959999999992</v>
      </c>
      <c r="F33" s="215">
        <f>F34+F35+F36+F37+F38+F39</f>
        <v>102.28878</v>
      </c>
      <c r="G33" s="215">
        <f>G34+G35+G36+G37+G38+G39</f>
        <v>1011.7735</v>
      </c>
    </row>
    <row r="34" spans="1:7">
      <c r="A34" s="218" t="s">
        <v>68</v>
      </c>
      <c r="B34" s="219" t="s">
        <v>69</v>
      </c>
      <c r="C34" s="218">
        <v>100</v>
      </c>
      <c r="D34" s="220">
        <f>0.84*1.666</f>
        <v>1.3994399999999998</v>
      </c>
      <c r="E34" s="220">
        <f>3.06*1.666</f>
        <v>5.0979599999999996</v>
      </c>
      <c r="F34" s="220">
        <f>6.83*1.666</f>
        <v>11.378779999999999</v>
      </c>
      <c r="G34" s="220">
        <f>59.75*1.666</f>
        <v>99.543499999999995</v>
      </c>
    </row>
    <row r="35" spans="1:7" ht="25.5">
      <c r="A35" s="218" t="s">
        <v>179</v>
      </c>
      <c r="B35" s="219" t="s">
        <v>141</v>
      </c>
      <c r="C35" s="218">
        <v>255</v>
      </c>
      <c r="D35" s="220">
        <f>2.57*1.25</f>
        <v>3.2124999999999999</v>
      </c>
      <c r="E35" s="220">
        <f>9.24*1.25</f>
        <v>11.55</v>
      </c>
      <c r="F35" s="220">
        <f>18.04*1.25</f>
        <v>22.549999999999997</v>
      </c>
      <c r="G35" s="220">
        <f>169.72*1.25</f>
        <v>212.15</v>
      </c>
    </row>
    <row r="36" spans="1:7">
      <c r="A36" s="221" t="s">
        <v>43</v>
      </c>
      <c r="B36" s="219" t="s">
        <v>286</v>
      </c>
      <c r="C36" s="218">
        <v>100</v>
      </c>
      <c r="D36" s="220">
        <v>8.99</v>
      </c>
      <c r="E36" s="220">
        <v>33.909999999999997</v>
      </c>
      <c r="F36" s="220">
        <v>3.29</v>
      </c>
      <c r="G36" s="220">
        <v>354.31</v>
      </c>
    </row>
    <row r="37" spans="1:7">
      <c r="A37" s="218" t="s">
        <v>33</v>
      </c>
      <c r="B37" s="219" t="s">
        <v>12</v>
      </c>
      <c r="C37" s="218">
        <v>180</v>
      </c>
      <c r="D37" s="220">
        <f>5.64*1.2</f>
        <v>6.7679999999999998</v>
      </c>
      <c r="E37" s="220">
        <f>2.84*1.2</f>
        <v>3.4079999999999999</v>
      </c>
      <c r="F37" s="220">
        <f>36*1.2</f>
        <v>43.199999999999996</v>
      </c>
      <c r="G37" s="220">
        <f>201*1.2</f>
        <v>241.2</v>
      </c>
    </row>
    <row r="38" spans="1:7">
      <c r="A38" s="221" t="s">
        <v>42</v>
      </c>
      <c r="B38" s="226" t="s">
        <v>216</v>
      </c>
      <c r="C38" s="218">
        <v>200</v>
      </c>
      <c r="D38" s="220">
        <v>1.1499999999999999</v>
      </c>
      <c r="E38" s="220"/>
      <c r="F38" s="220">
        <v>12.03</v>
      </c>
      <c r="G38" s="220">
        <v>55.4</v>
      </c>
    </row>
    <row r="39" spans="1:7">
      <c r="A39" s="218"/>
      <c r="B39" s="219" t="s">
        <v>11</v>
      </c>
      <c r="C39" s="218">
        <v>20</v>
      </c>
      <c r="D39" s="220">
        <v>1.52</v>
      </c>
      <c r="E39" s="220">
        <v>0.16</v>
      </c>
      <c r="F39" s="220">
        <v>9.84</v>
      </c>
      <c r="G39" s="220">
        <v>49.17</v>
      </c>
    </row>
    <row r="40" spans="1:7">
      <c r="A40" s="257" t="s">
        <v>244</v>
      </c>
      <c r="B40" s="257"/>
      <c r="C40" s="216">
        <f>SUM(C34:C39)</f>
        <v>855</v>
      </c>
      <c r="D40" s="220"/>
      <c r="E40" s="220"/>
      <c r="F40" s="220"/>
      <c r="G40" s="220"/>
    </row>
    <row r="41" spans="1:7" ht="27.95" customHeight="1">
      <c r="A41" s="256" t="s">
        <v>237</v>
      </c>
      <c r="B41" s="256"/>
      <c r="C41" s="256"/>
      <c r="D41" s="215">
        <f>D42+D48</f>
        <v>44.427099999999996</v>
      </c>
      <c r="E41" s="215">
        <f>E42+E48</f>
        <v>40.858599999999996</v>
      </c>
      <c r="F41" s="215">
        <f>F42+F48</f>
        <v>226.2124</v>
      </c>
      <c r="G41" s="215">
        <f>G42+G48</f>
        <v>1505.0700000000002</v>
      </c>
    </row>
    <row r="42" spans="1:7">
      <c r="A42" s="216"/>
      <c r="B42" s="217" t="s">
        <v>66</v>
      </c>
      <c r="C42" s="216"/>
      <c r="D42" s="215">
        <f>D43+D44+D45+D46</f>
        <v>14.440000000000001</v>
      </c>
      <c r="E42" s="215">
        <f>E43+E44+E45+E46</f>
        <v>8.58</v>
      </c>
      <c r="F42" s="215">
        <f>F43+F44+F45+F46</f>
        <v>106.42</v>
      </c>
      <c r="G42" s="215">
        <f>G43+G44+G45+G46</f>
        <v>584.71</v>
      </c>
    </row>
    <row r="43" spans="1:7">
      <c r="A43" s="218"/>
      <c r="B43" s="219" t="s">
        <v>41</v>
      </c>
      <c r="C43" s="218">
        <v>100</v>
      </c>
      <c r="D43" s="220">
        <v>0.4</v>
      </c>
      <c r="E43" s="220">
        <v>0</v>
      </c>
      <c r="F43" s="220">
        <v>9.8000000000000007</v>
      </c>
      <c r="G43" s="220">
        <v>42.84</v>
      </c>
    </row>
    <row r="44" spans="1:7" ht="25.5">
      <c r="A44" s="218" t="s">
        <v>174</v>
      </c>
      <c r="B44" s="219" t="s">
        <v>201</v>
      </c>
      <c r="C44" s="218">
        <v>203</v>
      </c>
      <c r="D44" s="220">
        <v>8.48</v>
      </c>
      <c r="E44" s="220">
        <v>8</v>
      </c>
      <c r="F44" s="220">
        <v>36.1</v>
      </c>
      <c r="G44" s="220">
        <v>259.36</v>
      </c>
    </row>
    <row r="45" spans="1:7" ht="21.75" customHeight="1">
      <c r="A45" s="218" t="s">
        <v>42</v>
      </c>
      <c r="B45" s="219" t="s">
        <v>217</v>
      </c>
      <c r="C45" s="218">
        <v>200</v>
      </c>
      <c r="D45" s="220">
        <v>1</v>
      </c>
      <c r="E45" s="220">
        <v>0.1</v>
      </c>
      <c r="F45" s="220">
        <v>31</v>
      </c>
      <c r="G45" s="220">
        <v>135</v>
      </c>
    </row>
    <row r="46" spans="1:7">
      <c r="A46" s="218"/>
      <c r="B46" s="219" t="s">
        <v>11</v>
      </c>
      <c r="C46" s="218">
        <v>60</v>
      </c>
      <c r="D46" s="220">
        <f>3.04*1.5</f>
        <v>4.5600000000000005</v>
      </c>
      <c r="E46" s="220">
        <f>0.32*1.5</f>
        <v>0.48</v>
      </c>
      <c r="F46" s="220">
        <f>19.68*1.5</f>
        <v>29.52</v>
      </c>
      <c r="G46" s="220">
        <f>98.34*1.5</f>
        <v>147.51</v>
      </c>
    </row>
    <row r="47" spans="1:7">
      <c r="A47" s="257" t="s">
        <v>244</v>
      </c>
      <c r="B47" s="257"/>
      <c r="C47" s="216">
        <f>SUM(C43:C46)</f>
        <v>563</v>
      </c>
      <c r="D47" s="220"/>
      <c r="E47" s="220"/>
      <c r="F47" s="220"/>
      <c r="G47" s="220"/>
    </row>
    <row r="48" spans="1:7">
      <c r="A48" s="218"/>
      <c r="B48" s="240" t="s">
        <v>67</v>
      </c>
      <c r="C48" s="216"/>
      <c r="D48" s="215">
        <f>D49+D50+D51+D52+D53+D54</f>
        <v>29.987099999999998</v>
      </c>
      <c r="E48" s="215">
        <f>E49+E50+E51+E52+E53+E54</f>
        <v>32.278599999999997</v>
      </c>
      <c r="F48" s="215">
        <f>F49+F50+F51+F52+F53+F54</f>
        <v>119.7924</v>
      </c>
      <c r="G48" s="215">
        <f>G49+G50+G51+G52+G53+G54</f>
        <v>920.36</v>
      </c>
    </row>
    <row r="49" spans="1:7">
      <c r="A49" s="218" t="s">
        <v>82</v>
      </c>
      <c r="B49" s="219" t="s">
        <v>83</v>
      </c>
      <c r="C49" s="218">
        <v>100</v>
      </c>
      <c r="D49" s="220">
        <f>1.21*1.67</f>
        <v>2.0206999999999997</v>
      </c>
      <c r="E49" s="220">
        <f>6.2*1.67</f>
        <v>10.353999999999999</v>
      </c>
      <c r="F49" s="220">
        <f>12.33*1.67</f>
        <v>20.591100000000001</v>
      </c>
      <c r="G49" s="220">
        <f>113*1.67</f>
        <v>188.70999999999998</v>
      </c>
    </row>
    <row r="50" spans="1:7" ht="25.5">
      <c r="A50" s="218" t="s">
        <v>117</v>
      </c>
      <c r="B50" s="219" t="s">
        <v>145</v>
      </c>
      <c r="C50" s="218">
        <v>260</v>
      </c>
      <c r="D50" s="220">
        <f>2.64*1.25</f>
        <v>3.3000000000000003</v>
      </c>
      <c r="E50" s="220">
        <f>3.56*1.25</f>
        <v>4.45</v>
      </c>
      <c r="F50" s="220">
        <f>11.76*1.25</f>
        <v>14.7</v>
      </c>
      <c r="G50" s="220">
        <f>93*1.25</f>
        <v>116.25</v>
      </c>
    </row>
    <row r="51" spans="1:7">
      <c r="A51" s="218" t="s">
        <v>131</v>
      </c>
      <c r="B51" s="219" t="s">
        <v>146</v>
      </c>
      <c r="C51" s="218">
        <v>100</v>
      </c>
      <c r="D51" s="220">
        <f>11.84*1.11</f>
        <v>13.1424</v>
      </c>
      <c r="E51" s="220">
        <f>10.06*1.11</f>
        <v>11.166600000000001</v>
      </c>
      <c r="F51" s="220">
        <f>16.03*1.11</f>
        <v>17.793300000000002</v>
      </c>
      <c r="G51" s="220">
        <f>208*1.11</f>
        <v>230.88000000000002</v>
      </c>
    </row>
    <row r="52" spans="1:7">
      <c r="A52" s="221" t="s">
        <v>38</v>
      </c>
      <c r="B52" s="219" t="s">
        <v>36</v>
      </c>
      <c r="C52" s="218">
        <v>180</v>
      </c>
      <c r="D52" s="220">
        <f>8.77*1.2</f>
        <v>10.523999999999999</v>
      </c>
      <c r="E52" s="220">
        <f>5.19*1.2</f>
        <v>6.2280000000000006</v>
      </c>
      <c r="F52" s="220">
        <f>39.6*1.23</f>
        <v>48.707999999999998</v>
      </c>
      <c r="G52" s="220">
        <v>304</v>
      </c>
    </row>
    <row r="53" spans="1:7">
      <c r="A53" s="221" t="s">
        <v>176</v>
      </c>
      <c r="B53" s="219" t="s">
        <v>10</v>
      </c>
      <c r="C53" s="218">
        <v>200</v>
      </c>
      <c r="D53" s="220">
        <v>0</v>
      </c>
      <c r="E53" s="220">
        <v>0</v>
      </c>
      <c r="F53" s="220">
        <v>10</v>
      </c>
      <c r="G53" s="220">
        <v>42</v>
      </c>
    </row>
    <row r="54" spans="1:7">
      <c r="A54" s="218"/>
      <c r="B54" s="219" t="s">
        <v>37</v>
      </c>
      <c r="C54" s="218">
        <v>20</v>
      </c>
      <c r="D54" s="220">
        <v>1</v>
      </c>
      <c r="E54" s="220">
        <v>0.08</v>
      </c>
      <c r="F54" s="220">
        <v>8</v>
      </c>
      <c r="G54" s="220">
        <v>38.520000000000003</v>
      </c>
    </row>
    <row r="55" spans="1:7">
      <c r="A55" s="257" t="s">
        <v>244</v>
      </c>
      <c r="B55" s="257"/>
      <c r="C55" s="216">
        <f>SUM(C49:C54)</f>
        <v>860</v>
      </c>
      <c r="D55" s="220"/>
      <c r="E55" s="220"/>
      <c r="F55" s="220"/>
      <c r="G55" s="220"/>
    </row>
    <row r="56" spans="1:7" ht="27.95" customHeight="1">
      <c r="A56" s="256" t="s">
        <v>238</v>
      </c>
      <c r="B56" s="256"/>
      <c r="C56" s="256"/>
      <c r="D56" s="215">
        <f>D57+D63</f>
        <v>48.278500000000001</v>
      </c>
      <c r="E56" s="215">
        <f>E57+E63</f>
        <v>46.466200000000001</v>
      </c>
      <c r="F56" s="215">
        <f>F57+F63</f>
        <v>210.62379999999999</v>
      </c>
      <c r="G56" s="215">
        <f>G57+G63</f>
        <v>1506.9609999999998</v>
      </c>
    </row>
    <row r="57" spans="1:7">
      <c r="A57" s="216"/>
      <c r="B57" s="217" t="s">
        <v>66</v>
      </c>
      <c r="C57" s="216"/>
      <c r="D57" s="215">
        <f>D58+D59+D60+D61</f>
        <v>17.785</v>
      </c>
      <c r="E57" s="215">
        <f>E58+E59+E60+E61</f>
        <v>9.5024999999999995</v>
      </c>
      <c r="F57" s="215">
        <f>F58+F59+F60+F61</f>
        <v>116.03999999999999</v>
      </c>
      <c r="G57" s="215">
        <f>G58+G59+G60+G61</f>
        <v>647.63499999999999</v>
      </c>
    </row>
    <row r="58" spans="1:7">
      <c r="A58" s="221" t="s">
        <v>192</v>
      </c>
      <c r="B58" s="219" t="s">
        <v>190</v>
      </c>
      <c r="C58" s="218">
        <v>60</v>
      </c>
      <c r="D58" s="220">
        <v>4.91</v>
      </c>
      <c r="E58" s="220">
        <v>3.79</v>
      </c>
      <c r="F58" s="220">
        <v>36.090000000000003</v>
      </c>
      <c r="G58" s="220">
        <v>206.31</v>
      </c>
    </row>
    <row r="59" spans="1:7" ht="25.5">
      <c r="A59" s="218" t="s">
        <v>174</v>
      </c>
      <c r="B59" s="219" t="s">
        <v>200</v>
      </c>
      <c r="C59" s="218">
        <v>253</v>
      </c>
      <c r="D59" s="220">
        <f>7.26*1.25</f>
        <v>9.0749999999999993</v>
      </c>
      <c r="E59" s="220">
        <f>4.25*1.25</f>
        <v>5.3125</v>
      </c>
      <c r="F59" s="220">
        <f>36.28*1.25</f>
        <v>45.35</v>
      </c>
      <c r="G59" s="220">
        <v>276.39999999999998</v>
      </c>
    </row>
    <row r="60" spans="1:7">
      <c r="A60" s="221" t="s">
        <v>176</v>
      </c>
      <c r="B60" s="226" t="s">
        <v>10</v>
      </c>
      <c r="C60" s="218">
        <v>200</v>
      </c>
      <c r="D60" s="220">
        <v>0</v>
      </c>
      <c r="E60" s="220">
        <v>0</v>
      </c>
      <c r="F60" s="220">
        <v>10</v>
      </c>
      <c r="G60" s="220">
        <v>42</v>
      </c>
    </row>
    <row r="61" spans="1:7" ht="15" customHeight="1">
      <c r="A61" s="218"/>
      <c r="B61" s="219" t="s">
        <v>11</v>
      </c>
      <c r="C61" s="218">
        <v>50</v>
      </c>
      <c r="D61" s="220">
        <f>3.04*1.25</f>
        <v>3.8</v>
      </c>
      <c r="E61" s="220">
        <f>0.32*1.25</f>
        <v>0.4</v>
      </c>
      <c r="F61" s="220">
        <f>19.68*1.25</f>
        <v>24.6</v>
      </c>
      <c r="G61" s="220">
        <f>98.34*1.25</f>
        <v>122.92500000000001</v>
      </c>
    </row>
    <row r="62" spans="1:7" ht="15" customHeight="1">
      <c r="A62" s="257" t="s">
        <v>244</v>
      </c>
      <c r="B62" s="257"/>
      <c r="C62" s="216">
        <f>SUM(C58:C61)</f>
        <v>563</v>
      </c>
      <c r="D62" s="220"/>
      <c r="E62" s="220"/>
      <c r="F62" s="220"/>
      <c r="G62" s="220"/>
    </row>
    <row r="63" spans="1:7" ht="15" customHeight="1">
      <c r="A63" s="218"/>
      <c r="B63" s="240" t="s">
        <v>67</v>
      </c>
      <c r="C63" s="216"/>
      <c r="D63" s="215">
        <f>D64+D65+D66+D67+D68</f>
        <v>30.493500000000001</v>
      </c>
      <c r="E63" s="215">
        <f>E64+E65+E66+E67+E68</f>
        <v>36.963700000000003</v>
      </c>
      <c r="F63" s="215">
        <f>F64+F65+F66+F67+F68</f>
        <v>94.583799999999997</v>
      </c>
      <c r="G63" s="215">
        <f>G64+G65+G66+G67+G68</f>
        <v>859.32599999999991</v>
      </c>
    </row>
    <row r="64" spans="1:7" ht="15" customHeight="1">
      <c r="A64" s="218" t="s">
        <v>184</v>
      </c>
      <c r="B64" s="219" t="s">
        <v>151</v>
      </c>
      <c r="C64" s="218">
        <v>100</v>
      </c>
      <c r="D64" s="220">
        <f>0.8*1.67</f>
        <v>1.3360000000000001</v>
      </c>
      <c r="E64" s="220">
        <f>3.11*1.67</f>
        <v>5.1936999999999998</v>
      </c>
      <c r="F64" s="220">
        <f>5.64*1.67</f>
        <v>9.4187999999999992</v>
      </c>
      <c r="G64" s="220">
        <f>55.8*1.67</f>
        <v>93.185999999999993</v>
      </c>
    </row>
    <row r="65" spans="1:7" ht="30" customHeight="1">
      <c r="A65" s="218" t="s">
        <v>180</v>
      </c>
      <c r="B65" s="219" t="s">
        <v>148</v>
      </c>
      <c r="C65" s="218">
        <v>260</v>
      </c>
      <c r="D65" s="220">
        <f>6.51*1.25</f>
        <v>8.1374999999999993</v>
      </c>
      <c r="E65" s="220">
        <f>12.28*1.25</f>
        <v>15.35</v>
      </c>
      <c r="F65" s="220">
        <f>18.94*1.25</f>
        <v>23.675000000000001</v>
      </c>
      <c r="G65" s="220">
        <v>271.76</v>
      </c>
    </row>
    <row r="66" spans="1:7" ht="15" customHeight="1">
      <c r="A66" s="218" t="s">
        <v>228</v>
      </c>
      <c r="B66" s="219" t="s">
        <v>292</v>
      </c>
      <c r="C66" s="218">
        <v>260</v>
      </c>
      <c r="D66" s="220">
        <v>18.350000000000001</v>
      </c>
      <c r="E66" s="220">
        <v>16.260000000000002</v>
      </c>
      <c r="F66" s="220">
        <v>39.619999999999997</v>
      </c>
      <c r="G66" s="220">
        <v>389.81</v>
      </c>
    </row>
    <row r="67" spans="1:7" ht="14.25" customHeight="1">
      <c r="A67" s="221" t="s">
        <v>42</v>
      </c>
      <c r="B67" s="219" t="s">
        <v>216</v>
      </c>
      <c r="C67" s="218">
        <v>200</v>
      </c>
      <c r="D67" s="220">
        <v>1.1499999999999999</v>
      </c>
      <c r="E67" s="220"/>
      <c r="F67" s="220">
        <v>12.03</v>
      </c>
      <c r="G67" s="220">
        <v>55.4</v>
      </c>
    </row>
    <row r="68" spans="1:7" ht="15" customHeight="1">
      <c r="A68" s="218"/>
      <c r="B68" s="219" t="s">
        <v>11</v>
      </c>
      <c r="C68" s="218">
        <v>20</v>
      </c>
      <c r="D68" s="220">
        <v>1.52</v>
      </c>
      <c r="E68" s="220">
        <v>0.16</v>
      </c>
      <c r="F68" s="220">
        <v>9.84</v>
      </c>
      <c r="G68" s="220">
        <v>49.17</v>
      </c>
    </row>
    <row r="69" spans="1:7" ht="15" customHeight="1">
      <c r="A69" s="257" t="s">
        <v>244</v>
      </c>
      <c r="B69" s="257"/>
      <c r="C69" s="216">
        <f>SUM(C64:C68)</f>
        <v>840</v>
      </c>
      <c r="D69" s="220"/>
      <c r="E69" s="220"/>
      <c r="F69" s="220"/>
      <c r="G69" s="220"/>
    </row>
    <row r="70" spans="1:7" ht="27.95" customHeight="1">
      <c r="A70" s="256" t="s">
        <v>239</v>
      </c>
      <c r="B70" s="256"/>
      <c r="C70" s="256"/>
      <c r="D70" s="215">
        <f>D71+D77</f>
        <v>48.732900000000001</v>
      </c>
      <c r="E70" s="215">
        <f>E71+E77</f>
        <v>36.918700000000001</v>
      </c>
      <c r="F70" s="215">
        <f>F71+F77</f>
        <v>233.0454</v>
      </c>
      <c r="G70" s="215">
        <f>G71+G77</f>
        <v>1516.1556999999998</v>
      </c>
    </row>
    <row r="71" spans="1:7">
      <c r="A71" s="216"/>
      <c r="B71" s="217" t="s">
        <v>66</v>
      </c>
      <c r="C71" s="216"/>
      <c r="D71" s="215">
        <f>D72+D73+D74+D75</f>
        <v>16.399999999999999</v>
      </c>
      <c r="E71" s="215">
        <f>E72+E73+E74+E75</f>
        <v>9.7000000000000011</v>
      </c>
      <c r="F71" s="215">
        <f>F72+F73+F74+F75</f>
        <v>98.97</v>
      </c>
      <c r="G71" s="215">
        <f>G72+G73+G74+G75</f>
        <v>571.91</v>
      </c>
    </row>
    <row r="72" spans="1:7">
      <c r="A72" s="218"/>
      <c r="B72" s="219" t="s">
        <v>41</v>
      </c>
      <c r="C72" s="218">
        <v>100</v>
      </c>
      <c r="D72" s="220">
        <v>0.4</v>
      </c>
      <c r="E72" s="220">
        <v>0</v>
      </c>
      <c r="F72" s="220">
        <v>9.8000000000000007</v>
      </c>
      <c r="G72" s="220">
        <v>42.84</v>
      </c>
    </row>
    <row r="73" spans="1:7">
      <c r="A73" s="218" t="s">
        <v>193</v>
      </c>
      <c r="B73" s="219" t="s">
        <v>191</v>
      </c>
      <c r="C73" s="218">
        <v>203</v>
      </c>
      <c r="D73" s="220">
        <v>11.44</v>
      </c>
      <c r="E73" s="220">
        <v>9.2200000000000006</v>
      </c>
      <c r="F73" s="220">
        <v>49.65</v>
      </c>
      <c r="G73" s="220">
        <v>339.56</v>
      </c>
    </row>
    <row r="74" spans="1:7">
      <c r="A74" s="222" t="s">
        <v>176</v>
      </c>
      <c r="B74" s="219" t="s">
        <v>10</v>
      </c>
      <c r="C74" s="222">
        <v>200</v>
      </c>
      <c r="D74" s="220">
        <v>0</v>
      </c>
      <c r="E74" s="220">
        <v>0</v>
      </c>
      <c r="F74" s="220">
        <v>10</v>
      </c>
      <c r="G74" s="220">
        <v>42</v>
      </c>
    </row>
    <row r="75" spans="1:7" ht="13.5" customHeight="1">
      <c r="A75" s="218"/>
      <c r="B75" s="219" t="s">
        <v>11</v>
      </c>
      <c r="C75" s="218">
        <v>60</v>
      </c>
      <c r="D75" s="220">
        <f>3.04*1.5</f>
        <v>4.5600000000000005</v>
      </c>
      <c r="E75" s="220">
        <f>0.32*1.5</f>
        <v>0.48</v>
      </c>
      <c r="F75" s="220">
        <f>19.68*1.5</f>
        <v>29.52</v>
      </c>
      <c r="G75" s="220">
        <f>98.34*1.5</f>
        <v>147.51</v>
      </c>
    </row>
    <row r="76" spans="1:7">
      <c r="A76" s="257" t="s">
        <v>244</v>
      </c>
      <c r="B76" s="257"/>
      <c r="C76" s="216">
        <f>SUM(C72:C75)</f>
        <v>563</v>
      </c>
      <c r="D76" s="220"/>
      <c r="E76" s="220"/>
      <c r="F76" s="220"/>
      <c r="G76" s="220"/>
    </row>
    <row r="77" spans="1:7">
      <c r="A77" s="218"/>
      <c r="B77" s="240" t="s">
        <v>67</v>
      </c>
      <c r="C77" s="216"/>
      <c r="D77" s="215">
        <f>D78+D79+D80+D81+D82+D83</f>
        <v>32.332900000000002</v>
      </c>
      <c r="E77" s="215">
        <f>E78+E79+E80+E81+E82+E83</f>
        <v>27.218699999999998</v>
      </c>
      <c r="F77" s="215">
        <f>F78+F79+F80+F81+F82+F83</f>
        <v>134.0754</v>
      </c>
      <c r="G77" s="215">
        <f>G78+G79+G80+G81+G82+G83</f>
        <v>944.24569999999994</v>
      </c>
    </row>
    <row r="78" spans="1:7" ht="18.75" customHeight="1">
      <c r="A78" s="222" t="s">
        <v>187</v>
      </c>
      <c r="B78" s="219" t="s">
        <v>147</v>
      </c>
      <c r="C78" s="218">
        <v>100</v>
      </c>
      <c r="D78" s="220">
        <f>0.74*1.66</f>
        <v>1.2283999999999999</v>
      </c>
      <c r="E78" s="220">
        <f>0.06*1.67</f>
        <v>0.1002</v>
      </c>
      <c r="F78" s="220">
        <f>16.92*1.67</f>
        <v>28.256400000000003</v>
      </c>
      <c r="G78" s="220">
        <f>74.71*1.67</f>
        <v>124.76569999999998</v>
      </c>
    </row>
    <row r="79" spans="1:7">
      <c r="A79" s="218" t="s">
        <v>178</v>
      </c>
      <c r="B79" s="219" t="s">
        <v>138</v>
      </c>
      <c r="C79" s="218">
        <v>255</v>
      </c>
      <c r="D79" s="220">
        <f>3.09*1.25</f>
        <v>3.8624999999999998</v>
      </c>
      <c r="E79" s="220">
        <f>4.61*1.25</f>
        <v>5.7625000000000002</v>
      </c>
      <c r="F79" s="220">
        <f>12.54*1.25</f>
        <v>15.674999999999999</v>
      </c>
      <c r="G79" s="220">
        <f>107.36*1.25</f>
        <v>134.19999999999999</v>
      </c>
    </row>
    <row r="80" spans="1:7">
      <c r="A80" s="218" t="s">
        <v>220</v>
      </c>
      <c r="B80" s="219" t="s">
        <v>153</v>
      </c>
      <c r="C80" s="218">
        <v>110</v>
      </c>
      <c r="D80" s="220">
        <v>5.73</v>
      </c>
      <c r="E80" s="220">
        <v>16.34</v>
      </c>
      <c r="F80" s="220">
        <v>10.38</v>
      </c>
      <c r="G80" s="220">
        <v>215</v>
      </c>
    </row>
    <row r="81" spans="1:22">
      <c r="A81" s="221" t="s">
        <v>134</v>
      </c>
      <c r="B81" s="219" t="s">
        <v>154</v>
      </c>
      <c r="C81" s="218">
        <v>180</v>
      </c>
      <c r="D81" s="220">
        <f>16.26*1.2</f>
        <v>19.512</v>
      </c>
      <c r="E81" s="220">
        <f>4.03*1.2</f>
        <v>4.8360000000000003</v>
      </c>
      <c r="F81" s="220">
        <f>33.97*1.2</f>
        <v>40.763999999999996</v>
      </c>
      <c r="G81" s="220">
        <f>247.3*1.2</f>
        <v>296.76</v>
      </c>
    </row>
    <row r="82" spans="1:22" ht="29.25" customHeight="1">
      <c r="A82" s="218" t="s">
        <v>42</v>
      </c>
      <c r="B82" s="219" t="s">
        <v>217</v>
      </c>
      <c r="C82" s="218">
        <v>200</v>
      </c>
      <c r="D82" s="220">
        <v>1</v>
      </c>
      <c r="E82" s="220">
        <v>0.1</v>
      </c>
      <c r="F82" s="220">
        <v>31</v>
      </c>
      <c r="G82" s="220">
        <v>135</v>
      </c>
    </row>
    <row r="83" spans="1:22">
      <c r="A83" s="218"/>
      <c r="B83" s="219" t="s">
        <v>37</v>
      </c>
      <c r="C83" s="218">
        <v>20</v>
      </c>
      <c r="D83" s="220">
        <v>1</v>
      </c>
      <c r="E83" s="220">
        <v>0.08</v>
      </c>
      <c r="F83" s="220">
        <v>8</v>
      </c>
      <c r="G83" s="220">
        <v>38.520000000000003</v>
      </c>
    </row>
    <row r="84" spans="1:22">
      <c r="A84" s="257" t="s">
        <v>244</v>
      </c>
      <c r="B84" s="257"/>
      <c r="C84" s="216">
        <f>SUM(C78:C83)</f>
        <v>865</v>
      </c>
      <c r="D84" s="220"/>
      <c r="E84" s="220"/>
      <c r="F84" s="220"/>
      <c r="G84" s="220"/>
    </row>
    <row r="85" spans="1:22" ht="27.95" customHeight="1">
      <c r="A85" s="256" t="s">
        <v>240</v>
      </c>
      <c r="B85" s="256"/>
      <c r="C85" s="256"/>
      <c r="D85" s="215">
        <f>D86+D92</f>
        <v>37.520699999999998</v>
      </c>
      <c r="E85" s="215">
        <f>E86+E92</f>
        <v>69.959000000000003</v>
      </c>
      <c r="F85" s="215">
        <f>F86+F92</f>
        <v>202.34360000000001</v>
      </c>
      <c r="G85" s="215">
        <f>G86+G92</f>
        <v>1632.8497400000001</v>
      </c>
    </row>
    <row r="86" spans="1:22">
      <c r="A86" s="216"/>
      <c r="B86" s="217" t="s">
        <v>66</v>
      </c>
      <c r="C86" s="216"/>
      <c r="D86" s="215">
        <f>D87+D88+D89+D90</f>
        <v>13.16</v>
      </c>
      <c r="E86" s="215">
        <f>E87+E88+E89+E90</f>
        <v>10.68</v>
      </c>
      <c r="F86" s="215">
        <f>F87+F88+F89+F90</f>
        <v>99.34</v>
      </c>
      <c r="G86" s="215">
        <f>G87+G88+G89+G90</f>
        <v>568.66999999999996</v>
      </c>
    </row>
    <row r="87" spans="1:22">
      <c r="A87" s="218"/>
      <c r="B87" s="219" t="s">
        <v>41</v>
      </c>
      <c r="C87" s="218">
        <v>100</v>
      </c>
      <c r="D87" s="220">
        <v>0.4</v>
      </c>
      <c r="E87" s="220">
        <v>0</v>
      </c>
      <c r="F87" s="220">
        <v>9.8000000000000007</v>
      </c>
      <c r="G87" s="220">
        <v>42.84</v>
      </c>
    </row>
    <row r="88" spans="1:22" ht="24.75" customHeight="1">
      <c r="A88" s="218" t="s">
        <v>174</v>
      </c>
      <c r="B88" s="219" t="s">
        <v>198</v>
      </c>
      <c r="C88" s="218">
        <v>203</v>
      </c>
      <c r="D88" s="220">
        <v>8.1999999999999993</v>
      </c>
      <c r="E88" s="220">
        <v>10.199999999999999</v>
      </c>
      <c r="F88" s="220">
        <v>50.02</v>
      </c>
      <c r="G88" s="220">
        <v>336.32</v>
      </c>
      <c r="H88" s="192"/>
      <c r="I88" s="192"/>
      <c r="J88" s="192"/>
      <c r="K88" s="192"/>
      <c r="L88" s="192"/>
      <c r="M88" s="192"/>
      <c r="N88" s="193"/>
      <c r="O88" s="192"/>
      <c r="P88" s="192"/>
      <c r="Q88" s="192"/>
      <c r="R88" s="192"/>
      <c r="S88" s="192"/>
    </row>
    <row r="89" spans="1:22" ht="12" customHeight="1">
      <c r="A89" s="218" t="s">
        <v>176</v>
      </c>
      <c r="B89" s="219" t="s">
        <v>10</v>
      </c>
      <c r="C89" s="218">
        <v>200</v>
      </c>
      <c r="D89" s="220">
        <v>0</v>
      </c>
      <c r="E89" s="220">
        <v>0</v>
      </c>
      <c r="F89" s="220">
        <v>10</v>
      </c>
      <c r="G89" s="220">
        <v>42</v>
      </c>
      <c r="H89" s="192"/>
      <c r="I89" s="192"/>
      <c r="J89" s="192"/>
      <c r="K89" s="192"/>
      <c r="L89" s="192"/>
      <c r="M89" s="192"/>
      <c r="N89" s="193"/>
      <c r="O89" s="192"/>
      <c r="P89" s="192"/>
      <c r="Q89" s="192"/>
      <c r="R89" s="192"/>
      <c r="S89" s="192"/>
    </row>
    <row r="90" spans="1:22">
      <c r="A90" s="222"/>
      <c r="B90" s="219" t="s">
        <v>11</v>
      </c>
      <c r="C90" s="218">
        <v>60</v>
      </c>
      <c r="D90" s="220">
        <f>3.04*1.5</f>
        <v>4.5600000000000005</v>
      </c>
      <c r="E90" s="220">
        <f>0.32*1.5</f>
        <v>0.48</v>
      </c>
      <c r="F90" s="220">
        <f>19.68*1.5</f>
        <v>29.52</v>
      </c>
      <c r="G90" s="220">
        <f>98.34*1.5</f>
        <v>147.51</v>
      </c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</row>
    <row r="91" spans="1:22">
      <c r="A91" s="257" t="s">
        <v>244</v>
      </c>
      <c r="B91" s="257"/>
      <c r="C91" s="223">
        <f>SUM(C87:C90)</f>
        <v>563</v>
      </c>
      <c r="D91" s="224"/>
      <c r="E91" s="224"/>
      <c r="F91" s="224"/>
      <c r="G91" s="224"/>
    </row>
    <row r="92" spans="1:22">
      <c r="A92" s="221"/>
      <c r="B92" s="240" t="s">
        <v>67</v>
      </c>
      <c r="C92" s="223"/>
      <c r="D92" s="229">
        <f>D93+D94+D95+D96+D97</f>
        <v>24.360699999999998</v>
      </c>
      <c r="E92" s="229">
        <f>E93+E94+E95+E96+E97</f>
        <v>59.279000000000003</v>
      </c>
      <c r="F92" s="229">
        <f>F93+F94+F95+F96+F97</f>
        <v>103.00360000000001</v>
      </c>
      <c r="G92" s="229">
        <f>G93+G94+G95+G96+G97</f>
        <v>1064.17974</v>
      </c>
    </row>
    <row r="93" spans="1:22" ht="16.5" customHeight="1">
      <c r="A93" s="218" t="s">
        <v>82</v>
      </c>
      <c r="B93" s="219" t="s">
        <v>83</v>
      </c>
      <c r="C93" s="218">
        <v>100</v>
      </c>
      <c r="D93" s="220">
        <f>1.21*1.67</f>
        <v>2.0206999999999997</v>
      </c>
      <c r="E93" s="220">
        <f>6.2*1.67</f>
        <v>10.353999999999999</v>
      </c>
      <c r="F93" s="220">
        <f>12.33*1.67</f>
        <v>20.591100000000001</v>
      </c>
      <c r="G93" s="220">
        <f>113*1.67</f>
        <v>188.70999999999998</v>
      </c>
      <c r="I93" s="207"/>
      <c r="J93" s="209"/>
      <c r="K93" s="195"/>
      <c r="L93" s="195"/>
      <c r="M93" s="195"/>
      <c r="N93" s="195"/>
      <c r="O93" s="195"/>
      <c r="P93" s="192"/>
      <c r="Q93" s="192"/>
      <c r="R93" s="192"/>
      <c r="S93" s="192"/>
      <c r="T93" s="192"/>
      <c r="U93" s="192"/>
      <c r="V93" s="192"/>
    </row>
    <row r="94" spans="1:22" ht="28.5" customHeight="1">
      <c r="A94" s="218" t="s">
        <v>124</v>
      </c>
      <c r="B94" s="219" t="s">
        <v>155</v>
      </c>
      <c r="C94" s="218">
        <v>255</v>
      </c>
      <c r="D94" s="220">
        <f>3.96*1.25</f>
        <v>4.95</v>
      </c>
      <c r="E94" s="220">
        <f>4.86*1.25</f>
        <v>6.0750000000000002</v>
      </c>
      <c r="F94" s="220">
        <f>17.01*1.25</f>
        <v>21.262500000000003</v>
      </c>
      <c r="G94" s="220">
        <f>131.81*1.254</f>
        <v>165.28973999999999</v>
      </c>
      <c r="I94" s="211"/>
      <c r="J94" s="210"/>
      <c r="K94" s="18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2"/>
    </row>
    <row r="95" spans="1:22">
      <c r="A95" s="218" t="s">
        <v>226</v>
      </c>
      <c r="B95" s="219" t="s">
        <v>293</v>
      </c>
      <c r="C95" s="218">
        <v>250</v>
      </c>
      <c r="D95" s="220">
        <v>14.33</v>
      </c>
      <c r="E95" s="220">
        <v>42.53</v>
      </c>
      <c r="F95" s="220">
        <v>12.16</v>
      </c>
      <c r="G95" s="220">
        <v>488.68</v>
      </c>
    </row>
    <row r="96" spans="1:22" ht="25.5">
      <c r="A96" s="221" t="s">
        <v>40</v>
      </c>
      <c r="B96" s="219" t="s">
        <v>218</v>
      </c>
      <c r="C96" s="218">
        <v>200</v>
      </c>
      <c r="D96" s="220">
        <v>0.02</v>
      </c>
      <c r="E96" s="220"/>
      <c r="F96" s="220">
        <v>29.31</v>
      </c>
      <c r="G96" s="220">
        <v>123.16</v>
      </c>
      <c r="H96" s="209"/>
      <c r="I96" s="195"/>
      <c r="J96" s="195"/>
      <c r="K96" s="195"/>
      <c r="L96" s="195"/>
      <c r="M96" s="195"/>
      <c r="N96" s="195"/>
      <c r="O96" s="183"/>
      <c r="P96" s="195"/>
      <c r="Q96" s="195"/>
      <c r="R96" s="195"/>
      <c r="S96" s="195"/>
      <c r="T96" s="195"/>
    </row>
    <row r="97" spans="1:26">
      <c r="A97" s="218"/>
      <c r="B97" s="226" t="s">
        <v>11</v>
      </c>
      <c r="C97" s="221">
        <v>40</v>
      </c>
      <c r="D97" s="224">
        <v>3.04</v>
      </c>
      <c r="E97" s="224">
        <v>0.32</v>
      </c>
      <c r="F97" s="224">
        <v>19.68</v>
      </c>
      <c r="G97" s="224">
        <v>98.34</v>
      </c>
    </row>
    <row r="98" spans="1:26">
      <c r="A98" s="257" t="s">
        <v>244</v>
      </c>
      <c r="B98" s="257"/>
      <c r="C98" s="216">
        <f>SUM(C93:C97)</f>
        <v>845</v>
      </c>
      <c r="D98" s="220"/>
      <c r="E98" s="220"/>
      <c r="F98" s="220"/>
      <c r="G98" s="220"/>
    </row>
    <row r="99" spans="1:26" ht="27.95" customHeight="1">
      <c r="A99" s="255" t="s">
        <v>64</v>
      </c>
      <c r="B99" s="255"/>
      <c r="C99" s="255"/>
      <c r="D99" s="215">
        <f>D100+D106</f>
        <v>41.898800000000001</v>
      </c>
      <c r="E99" s="215">
        <f>E100+E106</f>
        <v>50.002899999999997</v>
      </c>
      <c r="F99" s="215">
        <f>F100+F106</f>
        <v>235.22310000000002</v>
      </c>
      <c r="G99" s="215">
        <f>G100+G106</f>
        <v>1639.771</v>
      </c>
    </row>
    <row r="100" spans="1:26">
      <c r="A100" s="216"/>
      <c r="B100" s="217" t="s">
        <v>66</v>
      </c>
      <c r="C100" s="216"/>
      <c r="D100" s="215">
        <f>D101+D102+D103+D104</f>
        <v>19.9297</v>
      </c>
      <c r="E100" s="215">
        <f>E101+E102+E103+E104</f>
        <v>11.4693</v>
      </c>
      <c r="F100" s="215">
        <f>F101+F102+F103+F104</f>
        <v>145.93030000000002</v>
      </c>
      <c r="G100" s="215">
        <f>G101+G102+G103+G104</f>
        <v>800.61599999999999</v>
      </c>
    </row>
    <row r="101" spans="1:26" ht="26.25" customHeight="1">
      <c r="A101" s="218" t="s">
        <v>174</v>
      </c>
      <c r="B101" s="219" t="s">
        <v>202</v>
      </c>
      <c r="C101" s="218">
        <v>203</v>
      </c>
      <c r="D101" s="220">
        <v>7.16</v>
      </c>
      <c r="E101" s="220">
        <v>4.66</v>
      </c>
      <c r="F101" s="220">
        <v>40.520000000000003</v>
      </c>
      <c r="G101" s="220">
        <v>242.96</v>
      </c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</row>
    <row r="102" spans="1:26" ht="13.5" customHeight="1">
      <c r="A102" s="221" t="s">
        <v>192</v>
      </c>
      <c r="B102" s="219" t="s">
        <v>190</v>
      </c>
      <c r="C102" s="218">
        <v>100</v>
      </c>
      <c r="D102" s="220">
        <f>4.91*1.67</f>
        <v>8.1997</v>
      </c>
      <c r="E102" s="220">
        <f>3.79*1.67</f>
        <v>6.3292999999999999</v>
      </c>
      <c r="F102" s="220">
        <f>36.09*1.67</f>
        <v>60.270300000000006</v>
      </c>
      <c r="G102" s="220">
        <v>344.5</v>
      </c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</row>
    <row r="103" spans="1:26" ht="14.25" customHeight="1">
      <c r="A103" s="221" t="s">
        <v>223</v>
      </c>
      <c r="B103" s="219" t="s">
        <v>158</v>
      </c>
      <c r="C103" s="218">
        <v>200</v>
      </c>
      <c r="D103" s="220">
        <v>0.01</v>
      </c>
      <c r="E103" s="220"/>
      <c r="F103" s="220">
        <v>15.62</v>
      </c>
      <c r="G103" s="220">
        <v>65.646000000000001</v>
      </c>
      <c r="H103" s="195"/>
      <c r="I103" s="195"/>
      <c r="J103" s="183"/>
      <c r="K103" s="195"/>
      <c r="L103" s="195"/>
      <c r="M103" s="183"/>
      <c r="N103" s="195"/>
      <c r="O103" s="195"/>
      <c r="P103" s="183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</row>
    <row r="104" spans="1:26" ht="14.25" customHeight="1">
      <c r="A104" s="218"/>
      <c r="B104" s="219" t="s">
        <v>11</v>
      </c>
      <c r="C104" s="218">
        <v>60</v>
      </c>
      <c r="D104" s="220">
        <f>3.04*1.5</f>
        <v>4.5600000000000005</v>
      </c>
      <c r="E104" s="220">
        <f>0.32*1.5</f>
        <v>0.48</v>
      </c>
      <c r="F104" s="220">
        <f>19.68*1.5</f>
        <v>29.52</v>
      </c>
      <c r="G104" s="220">
        <f>98.34*1.5</f>
        <v>147.51</v>
      </c>
      <c r="H104" s="196"/>
      <c r="I104" s="195"/>
      <c r="J104" s="196"/>
      <c r="K104" s="195"/>
      <c r="L104" s="195"/>
      <c r="M104" s="196"/>
      <c r="N104" s="183"/>
      <c r="O104" s="183"/>
      <c r="P104" s="183"/>
      <c r="Q104" s="183"/>
      <c r="R104" s="183"/>
      <c r="S104" s="183"/>
      <c r="T104" s="183"/>
      <c r="U104" s="183"/>
      <c r="V104" s="183"/>
      <c r="W104" s="195"/>
      <c r="X104" s="183"/>
      <c r="Y104" s="183"/>
      <c r="Z104" s="196"/>
    </row>
    <row r="105" spans="1:26" ht="18.75" customHeight="1">
      <c r="A105" s="257" t="s">
        <v>244</v>
      </c>
      <c r="B105" s="257"/>
      <c r="C105" s="223">
        <f>SUM(C101:C104)</f>
        <v>563</v>
      </c>
      <c r="D105" s="224"/>
      <c r="E105" s="224"/>
      <c r="F105" s="224"/>
      <c r="G105" s="224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</row>
    <row r="106" spans="1:26" ht="17.25" customHeight="1">
      <c r="A106" s="218"/>
      <c r="B106" s="240" t="s">
        <v>67</v>
      </c>
      <c r="C106" s="223"/>
      <c r="D106" s="229">
        <f>D107+D108+D109+D110+D111+D112</f>
        <v>21.969100000000001</v>
      </c>
      <c r="E106" s="229">
        <f>E107+E108+E109+E110+E111+E112</f>
        <v>38.5336</v>
      </c>
      <c r="F106" s="229">
        <f>F107+F108+F109+F110+F111+F112</f>
        <v>89.2928</v>
      </c>
      <c r="G106" s="229">
        <f>G107+G108+G109+G110+G111+G112</f>
        <v>839.15499999999997</v>
      </c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</row>
    <row r="107" spans="1:26" ht="15" customHeight="1">
      <c r="A107" s="218" t="s">
        <v>186</v>
      </c>
      <c r="B107" s="219" t="s">
        <v>137</v>
      </c>
      <c r="C107" s="218">
        <v>100</v>
      </c>
      <c r="D107" s="220">
        <f>0.94*1.66</f>
        <v>1.5603999999999998</v>
      </c>
      <c r="E107" s="220">
        <f>4.06*1.66</f>
        <v>6.7395999999999994</v>
      </c>
      <c r="F107" s="220">
        <f>5.96*1.66</f>
        <v>9.8935999999999993</v>
      </c>
      <c r="G107" s="220">
        <v>108.76</v>
      </c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</row>
    <row r="108" spans="1:26" ht="24" customHeight="1">
      <c r="A108" s="221" t="s">
        <v>181</v>
      </c>
      <c r="B108" s="219" t="s">
        <v>159</v>
      </c>
      <c r="C108" s="218">
        <v>260</v>
      </c>
      <c r="D108" s="220">
        <f>4.65*1.25</f>
        <v>5.8125</v>
      </c>
      <c r="E108" s="220">
        <f>6.92*1.25</f>
        <v>8.65</v>
      </c>
      <c r="F108" s="220">
        <f>12.49*1.25</f>
        <v>15.612500000000001</v>
      </c>
      <c r="G108" s="220">
        <f>134.268*1.25</f>
        <v>167.83500000000001</v>
      </c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</row>
    <row r="109" spans="1:26" ht="14.25" customHeight="1">
      <c r="A109" s="221" t="s">
        <v>227</v>
      </c>
      <c r="B109" s="219" t="s">
        <v>195</v>
      </c>
      <c r="C109" s="227">
        <v>100</v>
      </c>
      <c r="D109" s="220">
        <v>9.6300000000000008</v>
      </c>
      <c r="E109" s="220">
        <v>12.61</v>
      </c>
      <c r="F109" s="220">
        <v>8.51</v>
      </c>
      <c r="G109" s="220">
        <v>189.68</v>
      </c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</row>
    <row r="110" spans="1:26" ht="14.25" customHeight="1">
      <c r="A110" s="218" t="s">
        <v>34</v>
      </c>
      <c r="B110" s="219" t="s">
        <v>32</v>
      </c>
      <c r="C110" s="218">
        <v>200</v>
      </c>
      <c r="D110" s="220">
        <v>3.26</v>
      </c>
      <c r="E110" s="220">
        <f>7.8*1.33</f>
        <v>10.374000000000001</v>
      </c>
      <c r="F110" s="220">
        <f>21.99*1.33</f>
        <v>29.246700000000001</v>
      </c>
      <c r="G110" s="220">
        <v>234.48</v>
      </c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</row>
    <row r="111" spans="1:26" ht="15.75" customHeight="1">
      <c r="A111" s="218" t="s">
        <v>188</v>
      </c>
      <c r="B111" s="219" t="s">
        <v>90</v>
      </c>
      <c r="C111" s="218">
        <v>200</v>
      </c>
      <c r="D111" s="220">
        <f>0.14*1.33</f>
        <v>0.18620000000000003</v>
      </c>
      <c r="E111" s="220"/>
      <c r="F111" s="220">
        <v>16.190000000000001</v>
      </c>
      <c r="G111" s="220">
        <v>89.23</v>
      </c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</row>
    <row r="112" spans="1:26" ht="13.5" customHeight="1">
      <c r="A112" s="222"/>
      <c r="B112" s="219" t="s">
        <v>11</v>
      </c>
      <c r="C112" s="218">
        <v>20</v>
      </c>
      <c r="D112" s="220">
        <v>1.52</v>
      </c>
      <c r="E112" s="220">
        <v>0.16</v>
      </c>
      <c r="F112" s="220">
        <v>9.84</v>
      </c>
      <c r="G112" s="220">
        <v>49.17</v>
      </c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</row>
    <row r="113" spans="1:26">
      <c r="A113" s="257" t="s">
        <v>244</v>
      </c>
      <c r="B113" s="257"/>
      <c r="C113" s="228">
        <f>SUM(C107:C112)</f>
        <v>880</v>
      </c>
      <c r="D113" s="220"/>
      <c r="E113" s="220"/>
      <c r="F113" s="220"/>
      <c r="G113" s="220"/>
      <c r="H113" s="214"/>
      <c r="I113" s="195"/>
      <c r="J113" s="196"/>
      <c r="K113" s="195"/>
      <c r="L113" s="195"/>
      <c r="M113" s="196"/>
      <c r="N113" s="183"/>
      <c r="O113" s="183"/>
      <c r="P113" s="183"/>
      <c r="Q113" s="183"/>
      <c r="R113" s="183"/>
      <c r="S113" s="183"/>
      <c r="T113" s="183"/>
      <c r="U113" s="183"/>
      <c r="V113" s="183"/>
      <c r="W113" s="195"/>
      <c r="X113" s="183"/>
      <c r="Y113" s="183"/>
      <c r="Z113" s="196"/>
    </row>
    <row r="114" spans="1:26" ht="27.95" customHeight="1">
      <c r="A114" s="256" t="s">
        <v>241</v>
      </c>
      <c r="B114" s="256"/>
      <c r="C114" s="256"/>
      <c r="D114" s="215">
        <f>D115+D121</f>
        <v>46.133040000000001</v>
      </c>
      <c r="E114" s="215">
        <f>E115+E121</f>
        <v>73.291159999999991</v>
      </c>
      <c r="F114" s="215">
        <f>F115+F121</f>
        <v>210.13928000000001</v>
      </c>
      <c r="G114" s="215">
        <f>G115+G121</f>
        <v>1737.0284999999999</v>
      </c>
    </row>
    <row r="115" spans="1:26">
      <c r="A115" s="216"/>
      <c r="B115" s="217" t="s">
        <v>66</v>
      </c>
      <c r="C115" s="216"/>
      <c r="D115" s="215">
        <f>D116+D117+D118+D119</f>
        <v>15.9025</v>
      </c>
      <c r="E115" s="215">
        <f>E116+E117+E118+E119</f>
        <v>24.447499999999998</v>
      </c>
      <c r="F115" s="215">
        <f>F116+F117+F118+F119</f>
        <v>113.9375</v>
      </c>
      <c r="G115" s="215">
        <f>G116+G117+G118+G119</f>
        <v>765.40499999999997</v>
      </c>
    </row>
    <row r="116" spans="1:26" ht="25.5">
      <c r="A116" s="218" t="s">
        <v>174</v>
      </c>
      <c r="B116" s="219" t="s">
        <v>199</v>
      </c>
      <c r="C116" s="218">
        <v>253</v>
      </c>
      <c r="D116" s="220">
        <f>7.81*1.25</f>
        <v>9.7624999999999993</v>
      </c>
      <c r="E116" s="220">
        <f>4.55*1.25</f>
        <v>5.6875</v>
      </c>
      <c r="F116" s="220">
        <f>33.47*1.25</f>
        <v>41.837499999999999</v>
      </c>
      <c r="G116" s="220">
        <v>267.91000000000003</v>
      </c>
    </row>
    <row r="117" spans="1:26">
      <c r="A117" s="218"/>
      <c r="B117" s="219" t="s">
        <v>194</v>
      </c>
      <c r="C117" s="227">
        <v>60</v>
      </c>
      <c r="D117" s="220">
        <v>2.34</v>
      </c>
      <c r="E117" s="220">
        <v>18.36</v>
      </c>
      <c r="F117" s="220">
        <v>37.5</v>
      </c>
      <c r="G117" s="220">
        <v>332.57</v>
      </c>
    </row>
    <row r="118" spans="1:26">
      <c r="A118" s="218" t="s">
        <v>176</v>
      </c>
      <c r="B118" s="219" t="s">
        <v>10</v>
      </c>
      <c r="C118" s="227">
        <v>200</v>
      </c>
      <c r="D118" s="220">
        <v>0</v>
      </c>
      <c r="E118" s="220">
        <v>0</v>
      </c>
      <c r="F118" s="220">
        <v>10</v>
      </c>
      <c r="G118" s="220">
        <v>42</v>
      </c>
    </row>
    <row r="119" spans="1:26">
      <c r="A119" s="221"/>
      <c r="B119" s="226" t="s">
        <v>11</v>
      </c>
      <c r="C119" s="218">
        <v>50</v>
      </c>
      <c r="D119" s="220">
        <f>3.04*1.25</f>
        <v>3.8</v>
      </c>
      <c r="E119" s="220">
        <f>0.32*1.25</f>
        <v>0.4</v>
      </c>
      <c r="F119" s="220">
        <f>19.68*1.25</f>
        <v>24.6</v>
      </c>
      <c r="G119" s="220">
        <f>98.34*1.25</f>
        <v>122.92500000000001</v>
      </c>
    </row>
    <row r="120" spans="1:26">
      <c r="A120" s="257" t="s">
        <v>244</v>
      </c>
      <c r="B120" s="257"/>
      <c r="C120" s="235">
        <f>SUM(C116:C119)</f>
        <v>563</v>
      </c>
      <c r="D120" s="220"/>
      <c r="E120" s="220"/>
      <c r="F120" s="220"/>
      <c r="G120" s="220"/>
    </row>
    <row r="121" spans="1:26">
      <c r="A121" s="222"/>
      <c r="B121" s="240" t="s">
        <v>67</v>
      </c>
      <c r="C121" s="233"/>
      <c r="D121" s="215">
        <f>D122+D123+D124+D125+D126+D127</f>
        <v>30.230540000000001</v>
      </c>
      <c r="E121" s="215">
        <f>E122+E123+E124+E125+E126+E127</f>
        <v>48.84366</v>
      </c>
      <c r="F121" s="215">
        <f>F122+F123+F124+F125+F126+F127</f>
        <v>96.201780000000014</v>
      </c>
      <c r="G121" s="215">
        <f>G122+G123+G124+G125+G126+G127</f>
        <v>971.62349999999992</v>
      </c>
    </row>
    <row r="122" spans="1:26">
      <c r="A122" s="218" t="s">
        <v>68</v>
      </c>
      <c r="B122" s="219" t="s">
        <v>69</v>
      </c>
      <c r="C122" s="218">
        <v>100</v>
      </c>
      <c r="D122" s="220">
        <f>0.84*1.666</f>
        <v>1.3994399999999998</v>
      </c>
      <c r="E122" s="220">
        <f>3.06*1.666</f>
        <v>5.0979599999999996</v>
      </c>
      <c r="F122" s="220">
        <f>6.83*1.666</f>
        <v>11.378779999999999</v>
      </c>
      <c r="G122" s="220">
        <f>59.75*1.666</f>
        <v>99.543499999999995</v>
      </c>
    </row>
    <row r="123" spans="1:26" ht="25.5">
      <c r="A123" s="218" t="s">
        <v>130</v>
      </c>
      <c r="B123" s="219" t="s">
        <v>163</v>
      </c>
      <c r="C123" s="218">
        <v>260</v>
      </c>
      <c r="D123" s="220">
        <f>7.49*1.25</f>
        <v>9.3625000000000007</v>
      </c>
      <c r="E123" s="220">
        <f>(10.16+12.36)*1.25</f>
        <v>28.15</v>
      </c>
      <c r="F123" s="220">
        <f>(4.87+8.96)*1.25</f>
        <v>17.287500000000001</v>
      </c>
      <c r="G123" s="220">
        <v>365.28</v>
      </c>
    </row>
    <row r="124" spans="1:26">
      <c r="A124" s="218" t="s">
        <v>131</v>
      </c>
      <c r="B124" s="219" t="s">
        <v>146</v>
      </c>
      <c r="C124" s="218">
        <v>100</v>
      </c>
      <c r="D124" s="220">
        <f>11.84*1.11</f>
        <v>13.1424</v>
      </c>
      <c r="E124" s="220">
        <f>10.06*1.11</f>
        <v>11.166600000000001</v>
      </c>
      <c r="F124" s="220">
        <f>16.03*1.11</f>
        <v>17.793300000000002</v>
      </c>
      <c r="G124" s="220">
        <f>208*1.11</f>
        <v>230.88000000000002</v>
      </c>
    </row>
    <row r="125" spans="1:26">
      <c r="A125" s="218" t="s">
        <v>164</v>
      </c>
      <c r="B125" s="219" t="s">
        <v>165</v>
      </c>
      <c r="C125" s="218">
        <v>200</v>
      </c>
      <c r="D125" s="220">
        <f>3.14*1.33</f>
        <v>4.1762000000000006</v>
      </c>
      <c r="E125" s="220">
        <f>3.27*1.33</f>
        <v>4.3491</v>
      </c>
      <c r="F125" s="220">
        <f>22.34*1.33</f>
        <v>29.712200000000003</v>
      </c>
      <c r="G125" s="220">
        <v>182</v>
      </c>
    </row>
    <row r="126" spans="1:26">
      <c r="A126" s="221" t="s">
        <v>42</v>
      </c>
      <c r="B126" s="219" t="s">
        <v>216</v>
      </c>
      <c r="C126" s="218">
        <v>200</v>
      </c>
      <c r="D126" s="220">
        <f>1.15</f>
        <v>1.1499999999999999</v>
      </c>
      <c r="E126" s="220"/>
      <c r="F126" s="220">
        <v>12.03</v>
      </c>
      <c r="G126" s="220">
        <v>55.4</v>
      </c>
    </row>
    <row r="127" spans="1:26">
      <c r="A127" s="222"/>
      <c r="B127" s="219" t="s">
        <v>37</v>
      </c>
      <c r="C127" s="218">
        <v>20</v>
      </c>
      <c r="D127" s="220">
        <v>1</v>
      </c>
      <c r="E127" s="220">
        <v>0.08</v>
      </c>
      <c r="F127" s="220">
        <v>8</v>
      </c>
      <c r="G127" s="220">
        <v>38.520000000000003</v>
      </c>
    </row>
    <row r="128" spans="1:26">
      <c r="A128" s="257" t="s">
        <v>244</v>
      </c>
      <c r="B128" s="257"/>
      <c r="C128" s="216">
        <f>SUM(C122:C127)</f>
        <v>880</v>
      </c>
      <c r="D128" s="220"/>
      <c r="E128" s="220"/>
      <c r="F128" s="220"/>
      <c r="G128" s="220"/>
    </row>
    <row r="129" spans="1:7" ht="27.95" customHeight="1">
      <c r="A129" s="256" t="s">
        <v>242</v>
      </c>
      <c r="B129" s="256"/>
      <c r="C129" s="256"/>
      <c r="D129" s="215">
        <f>D130+D137</f>
        <v>60.436</v>
      </c>
      <c r="E129" s="215">
        <f>E130+E137</f>
        <v>35.736499999999999</v>
      </c>
      <c r="F129" s="215">
        <f>F130+F137</f>
        <v>223.9469</v>
      </c>
      <c r="G129" s="215">
        <f>G130+G137</f>
        <v>1515.8574399999998</v>
      </c>
    </row>
    <row r="130" spans="1:7">
      <c r="A130" s="216"/>
      <c r="B130" s="217" t="s">
        <v>66</v>
      </c>
      <c r="C130" s="216"/>
      <c r="D130" s="215">
        <f>D131+D132+D133+D134+D135</f>
        <v>36.413600000000002</v>
      </c>
      <c r="E130" s="215">
        <f>E131+E132+E133+E134+E135</f>
        <v>14.4633</v>
      </c>
      <c r="F130" s="215">
        <f>F131+F132+F133+F134+F135</f>
        <v>88.35</v>
      </c>
      <c r="G130" s="215">
        <f>G131+G132+G133+G134+G135</f>
        <v>654.27199999999993</v>
      </c>
    </row>
    <row r="131" spans="1:7" ht="15" customHeight="1">
      <c r="A131" s="218"/>
      <c r="B131" s="219" t="s">
        <v>166</v>
      </c>
      <c r="C131" s="218">
        <v>40</v>
      </c>
      <c r="D131" s="220">
        <v>5.08</v>
      </c>
      <c r="E131" s="220">
        <v>4.5999999999999996</v>
      </c>
      <c r="F131" s="220">
        <v>0.28000000000000003</v>
      </c>
      <c r="G131" s="220">
        <v>63.911999999999999</v>
      </c>
    </row>
    <row r="132" spans="1:7" ht="25.5">
      <c r="A132" s="218" t="s">
        <v>39</v>
      </c>
      <c r="B132" s="241" t="s">
        <v>254</v>
      </c>
      <c r="C132" s="242">
        <v>160</v>
      </c>
      <c r="D132" s="243">
        <f>18.92*1.33+0.06</f>
        <v>25.223600000000001</v>
      </c>
      <c r="E132" s="243">
        <f>7.01*1.33+0.06</f>
        <v>9.3833000000000002</v>
      </c>
      <c r="F132" s="243">
        <f>15*1.33+16.77</f>
        <v>36.72</v>
      </c>
      <c r="G132" s="243">
        <v>344.61</v>
      </c>
    </row>
    <row r="133" spans="1:7">
      <c r="A133" s="218"/>
      <c r="B133" s="219" t="s">
        <v>41</v>
      </c>
      <c r="C133" s="218">
        <v>100</v>
      </c>
      <c r="D133" s="220">
        <v>0.4</v>
      </c>
      <c r="E133" s="220">
        <v>0</v>
      </c>
      <c r="F133" s="220">
        <v>9.8000000000000007</v>
      </c>
      <c r="G133" s="220">
        <v>42.84</v>
      </c>
    </row>
    <row r="134" spans="1:7" ht="16.5" customHeight="1">
      <c r="A134" s="218" t="s">
        <v>42</v>
      </c>
      <c r="B134" s="219" t="s">
        <v>216</v>
      </c>
      <c r="C134" s="218">
        <v>200</v>
      </c>
      <c r="D134" s="220">
        <v>1.1499999999999999</v>
      </c>
      <c r="E134" s="220"/>
      <c r="F134" s="220">
        <v>12.03</v>
      </c>
      <c r="G134" s="220">
        <v>55.4</v>
      </c>
    </row>
    <row r="135" spans="1:7">
      <c r="A135" s="221"/>
      <c r="B135" s="219" t="s">
        <v>11</v>
      </c>
      <c r="C135" s="218">
        <v>60</v>
      </c>
      <c r="D135" s="220">
        <f>3.04*1.5</f>
        <v>4.5600000000000005</v>
      </c>
      <c r="E135" s="220">
        <f>0.32*1.5</f>
        <v>0.48</v>
      </c>
      <c r="F135" s="220">
        <f>19.68*1.5</f>
        <v>29.52</v>
      </c>
      <c r="G135" s="220">
        <f>98.34*1.5</f>
        <v>147.51</v>
      </c>
    </row>
    <row r="136" spans="1:7">
      <c r="A136" s="257" t="s">
        <v>244</v>
      </c>
      <c r="B136" s="257"/>
      <c r="C136" s="216">
        <f>SUM(C131:C135)</f>
        <v>560</v>
      </c>
      <c r="D136" s="220"/>
      <c r="E136" s="220"/>
      <c r="F136" s="220"/>
      <c r="G136" s="220"/>
    </row>
    <row r="137" spans="1:7" ht="18.75" customHeight="1">
      <c r="A137" s="218"/>
      <c r="B137" s="240" t="s">
        <v>67</v>
      </c>
      <c r="C137" s="216"/>
      <c r="D137" s="215">
        <f>D138+D139+D140+D141+D142+D143</f>
        <v>24.022399999999998</v>
      </c>
      <c r="E137" s="215">
        <f>E138+E139+E140+E141+E142+E143</f>
        <v>21.273199999999999</v>
      </c>
      <c r="F137" s="215">
        <f>F138+F139+F140+F141+F142+F143</f>
        <v>135.59690000000001</v>
      </c>
      <c r="G137" s="215">
        <f>G138+G139+G140+G141+G142+G143</f>
        <v>861.58543999999995</v>
      </c>
    </row>
    <row r="138" spans="1:7">
      <c r="A138" s="222" t="s">
        <v>187</v>
      </c>
      <c r="B138" s="219" t="s">
        <v>147</v>
      </c>
      <c r="C138" s="218">
        <v>100</v>
      </c>
      <c r="D138" s="220">
        <f>0.74*1.66</f>
        <v>1.2283999999999999</v>
      </c>
      <c r="E138" s="220">
        <f>0.06*1.67</f>
        <v>0.1002</v>
      </c>
      <c r="F138" s="220">
        <f>16.92*1.67</f>
        <v>28.256400000000003</v>
      </c>
      <c r="G138" s="220">
        <f>74.71*1.67</f>
        <v>124.76569999999998</v>
      </c>
    </row>
    <row r="139" spans="1:7" ht="25.5">
      <c r="A139" s="218" t="s">
        <v>124</v>
      </c>
      <c r="B139" s="219" t="s">
        <v>155</v>
      </c>
      <c r="C139" s="218">
        <v>255</v>
      </c>
      <c r="D139" s="220">
        <f>3.96*1.25</f>
        <v>4.95</v>
      </c>
      <c r="E139" s="220">
        <f>4.86*1.25</f>
        <v>6.0750000000000002</v>
      </c>
      <c r="F139" s="220">
        <f>17.01*1.25</f>
        <v>21.262500000000003</v>
      </c>
      <c r="G139" s="220">
        <f>131.81*1.254</f>
        <v>165.28973999999999</v>
      </c>
    </row>
    <row r="140" spans="1:7">
      <c r="A140" s="218" t="s">
        <v>219</v>
      </c>
      <c r="B140" s="219" t="s">
        <v>140</v>
      </c>
      <c r="C140" s="218">
        <v>115</v>
      </c>
      <c r="D140" s="220">
        <v>6.32</v>
      </c>
      <c r="E140" s="220">
        <v>8.7899999999999991</v>
      </c>
      <c r="F140" s="220">
        <v>19.37</v>
      </c>
      <c r="G140" s="220">
        <v>187.01</v>
      </c>
    </row>
    <row r="141" spans="1:7">
      <c r="A141" s="221" t="s">
        <v>38</v>
      </c>
      <c r="B141" s="219" t="s">
        <v>36</v>
      </c>
      <c r="C141" s="218">
        <v>180</v>
      </c>
      <c r="D141" s="220">
        <f>8.77*1.2</f>
        <v>10.523999999999999</v>
      </c>
      <c r="E141" s="220">
        <f>5.19*1.2</f>
        <v>6.2280000000000006</v>
      </c>
      <c r="F141" s="220">
        <f>39.6*1.23</f>
        <v>48.707999999999998</v>
      </c>
      <c r="G141" s="220">
        <v>304</v>
      </c>
    </row>
    <row r="142" spans="1:7">
      <c r="A142" s="218" t="s">
        <v>176</v>
      </c>
      <c r="B142" s="219" t="s">
        <v>10</v>
      </c>
      <c r="C142" s="218">
        <v>200</v>
      </c>
      <c r="D142" s="220">
        <v>0</v>
      </c>
      <c r="E142" s="220">
        <v>0</v>
      </c>
      <c r="F142" s="220">
        <v>10</v>
      </c>
      <c r="G142" s="220">
        <v>42</v>
      </c>
    </row>
    <row r="143" spans="1:7" ht="12" customHeight="1">
      <c r="A143" s="222"/>
      <c r="B143" s="219" t="s">
        <v>37</v>
      </c>
      <c r="C143" s="218">
        <v>20</v>
      </c>
      <c r="D143" s="220">
        <v>1</v>
      </c>
      <c r="E143" s="220">
        <v>0.08</v>
      </c>
      <c r="F143" s="220">
        <v>8</v>
      </c>
      <c r="G143" s="220">
        <v>38.520000000000003</v>
      </c>
    </row>
    <row r="144" spans="1:7">
      <c r="A144" s="257" t="s">
        <v>244</v>
      </c>
      <c r="B144" s="257"/>
      <c r="C144" s="216">
        <f>SUM(C138:C143)</f>
        <v>870</v>
      </c>
      <c r="D144" s="220"/>
      <c r="E144" s="220"/>
      <c r="F144" s="220"/>
      <c r="G144" s="220"/>
    </row>
    <row r="145" spans="1:27" ht="27.95" customHeight="1">
      <c r="A145" s="255" t="s">
        <v>243</v>
      </c>
      <c r="B145" s="255"/>
      <c r="C145" s="255"/>
      <c r="D145" s="215">
        <f>D146+D153</f>
        <v>51.641499999999994</v>
      </c>
      <c r="E145" s="215">
        <f>E146+E153</f>
        <v>52.744999999999997</v>
      </c>
      <c r="F145" s="215">
        <f>F146+F153</f>
        <v>195.43076000000002</v>
      </c>
      <c r="G145" s="215">
        <f>G146+G153</f>
        <v>1513.1759999999999</v>
      </c>
      <c r="H145" s="212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  <c r="AA145" s="200"/>
    </row>
    <row r="146" spans="1:27">
      <c r="A146" s="216"/>
      <c r="B146" s="217" t="s">
        <v>66</v>
      </c>
      <c r="C146" s="216"/>
      <c r="D146" s="215">
        <f>D147+D148+D149+D150+D151</f>
        <v>27.141999999999996</v>
      </c>
      <c r="E146" s="215">
        <f>E147+E148+E149+E150+E151</f>
        <v>13.744000000000002</v>
      </c>
      <c r="F146" s="215">
        <f>F147+F148+F149+F150+F151</f>
        <v>92.66</v>
      </c>
      <c r="G146" s="215">
        <f>G147+G148+G149+G150+G151</f>
        <v>627.68599999999992</v>
      </c>
      <c r="H146" s="212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  <c r="AA146" s="200"/>
    </row>
    <row r="147" spans="1:27">
      <c r="A147" s="218" t="s">
        <v>225</v>
      </c>
      <c r="B147" s="219" t="s">
        <v>168</v>
      </c>
      <c r="C147" s="218">
        <v>100</v>
      </c>
      <c r="D147" s="220">
        <v>17.829999999999998</v>
      </c>
      <c r="E147" s="220">
        <v>7.99</v>
      </c>
      <c r="F147" s="220">
        <v>4.25</v>
      </c>
      <c r="G147" s="220">
        <v>165</v>
      </c>
      <c r="H147" s="195"/>
      <c r="I147" s="195"/>
      <c r="J147" s="195"/>
      <c r="K147" s="195"/>
      <c r="L147" s="195"/>
      <c r="M147" s="195"/>
      <c r="N147" s="195"/>
      <c r="O147" s="195"/>
      <c r="P147" s="183"/>
      <c r="Q147" s="195"/>
      <c r="R147" s="195"/>
      <c r="S147" s="195"/>
      <c r="T147" s="195"/>
      <c r="U147" s="195"/>
      <c r="V147" s="195"/>
      <c r="W147" s="195"/>
      <c r="X147" s="195"/>
      <c r="Y147" s="195"/>
      <c r="Z147" s="195"/>
    </row>
    <row r="148" spans="1:27">
      <c r="A148" s="221" t="s">
        <v>183</v>
      </c>
      <c r="B148" s="219" t="s">
        <v>157</v>
      </c>
      <c r="C148" s="218">
        <v>180</v>
      </c>
      <c r="D148" s="220">
        <f>3.81*1.2</f>
        <v>4.5720000000000001</v>
      </c>
      <c r="E148" s="220">
        <f>2.72*1.2</f>
        <v>3.2640000000000002</v>
      </c>
      <c r="F148" s="220">
        <f>40*1.2</f>
        <v>48</v>
      </c>
      <c r="G148" s="220">
        <f>208.48*1.2</f>
        <v>250.17599999999999</v>
      </c>
      <c r="H148" s="195"/>
      <c r="I148" s="195"/>
      <c r="J148" s="195"/>
      <c r="K148" s="195"/>
      <c r="L148" s="195"/>
      <c r="M148" s="195"/>
      <c r="N148" s="183"/>
      <c r="O148" s="183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95"/>
    </row>
    <row r="149" spans="1:27">
      <c r="A149" s="222" t="s">
        <v>185</v>
      </c>
      <c r="B149" s="219" t="s">
        <v>169</v>
      </c>
      <c r="C149" s="218">
        <v>20</v>
      </c>
      <c r="D149" s="220">
        <v>0.18</v>
      </c>
      <c r="E149" s="220">
        <v>2.0099999999999998</v>
      </c>
      <c r="F149" s="220">
        <v>0.89</v>
      </c>
      <c r="G149" s="220">
        <v>23</v>
      </c>
      <c r="H149" s="195"/>
      <c r="I149" s="195"/>
      <c r="J149" s="183"/>
      <c r="K149" s="195"/>
      <c r="L149" s="195"/>
      <c r="M149" s="195"/>
      <c r="N149" s="195"/>
      <c r="O149" s="195"/>
      <c r="P149" s="183"/>
      <c r="Q149" s="183"/>
      <c r="R149" s="183"/>
      <c r="S149" s="183"/>
      <c r="T149" s="183"/>
      <c r="U149" s="183"/>
      <c r="V149" s="183"/>
      <c r="W149" s="195"/>
      <c r="X149" s="183"/>
      <c r="Y149" s="183"/>
      <c r="Z149" s="195"/>
    </row>
    <row r="150" spans="1:27">
      <c r="A150" s="218" t="s">
        <v>176</v>
      </c>
      <c r="B150" s="219" t="s">
        <v>10</v>
      </c>
      <c r="C150" s="222">
        <v>200</v>
      </c>
      <c r="D150" s="220">
        <v>0</v>
      </c>
      <c r="E150" s="220">
        <v>0</v>
      </c>
      <c r="F150" s="220">
        <v>10</v>
      </c>
      <c r="G150" s="220">
        <v>42</v>
      </c>
      <c r="H150" s="195"/>
      <c r="I150" s="195"/>
      <c r="J150" s="183"/>
      <c r="K150" s="195"/>
      <c r="L150" s="195"/>
      <c r="M150" s="195"/>
      <c r="N150" s="195"/>
      <c r="O150" s="195"/>
      <c r="P150" s="183"/>
      <c r="Q150" s="183"/>
      <c r="R150" s="183"/>
      <c r="S150" s="183"/>
      <c r="T150" s="183"/>
      <c r="U150" s="183"/>
      <c r="V150" s="183"/>
      <c r="W150" s="195"/>
      <c r="X150" s="183"/>
      <c r="Y150" s="183"/>
      <c r="Z150" s="195"/>
    </row>
    <row r="151" spans="1:27">
      <c r="A151" s="221"/>
      <c r="B151" s="219" t="s">
        <v>11</v>
      </c>
      <c r="C151" s="218">
        <v>60</v>
      </c>
      <c r="D151" s="220">
        <f>3.04*1.5</f>
        <v>4.5600000000000005</v>
      </c>
      <c r="E151" s="220">
        <f>0.32*1.5</f>
        <v>0.48</v>
      </c>
      <c r="F151" s="220">
        <f>19.68*1.5</f>
        <v>29.52</v>
      </c>
      <c r="G151" s="220">
        <f>98.34*1.5</f>
        <v>147.51</v>
      </c>
      <c r="H151" s="196"/>
      <c r="I151" s="195"/>
      <c r="J151" s="196"/>
      <c r="K151" s="195"/>
      <c r="L151" s="195"/>
      <c r="M151" s="196"/>
      <c r="N151" s="183"/>
      <c r="O151" s="183"/>
      <c r="P151" s="183"/>
      <c r="Q151" s="183"/>
      <c r="R151" s="183"/>
      <c r="S151" s="183"/>
      <c r="T151" s="183"/>
      <c r="U151" s="183"/>
      <c r="V151" s="183"/>
      <c r="W151" s="195"/>
      <c r="X151" s="183"/>
      <c r="Y151" s="183"/>
      <c r="Z151" s="196"/>
    </row>
    <row r="152" spans="1:27">
      <c r="A152" s="257" t="s">
        <v>244</v>
      </c>
      <c r="B152" s="257"/>
      <c r="C152" s="228">
        <f>SUM(C147:C151)</f>
        <v>560</v>
      </c>
      <c r="D152" s="220"/>
      <c r="E152" s="220"/>
      <c r="F152" s="220"/>
      <c r="G152" s="220"/>
      <c r="H152" s="213"/>
      <c r="I152" s="201"/>
      <c r="J152" s="202"/>
      <c r="K152" s="201"/>
      <c r="L152" s="201"/>
      <c r="M152" s="201"/>
      <c r="N152" s="203"/>
      <c r="O152" s="203"/>
      <c r="P152" s="202"/>
      <c r="Q152" s="202"/>
      <c r="R152" s="202"/>
      <c r="S152" s="202"/>
      <c r="T152" s="202"/>
      <c r="U152" s="202"/>
      <c r="V152" s="202"/>
      <c r="W152" s="203"/>
      <c r="X152" s="202"/>
      <c r="Y152" s="202"/>
      <c r="Z152" s="203"/>
    </row>
    <row r="153" spans="1:27">
      <c r="A153" s="218"/>
      <c r="B153" s="240" t="s">
        <v>67</v>
      </c>
      <c r="C153" s="216"/>
      <c r="D153" s="215">
        <f>D154+D155+D156+D157+D158+D159</f>
        <v>24.499499999999998</v>
      </c>
      <c r="E153" s="215">
        <f>E154+E155+E156+E157+E158+E159</f>
        <v>39.000999999999998</v>
      </c>
      <c r="F153" s="215">
        <f>F154+F155+F156+F157+F158+F159</f>
        <v>102.77076000000001</v>
      </c>
      <c r="G153" s="215">
        <f>G154+G155+G156+G157+G158+G159</f>
        <v>885.49</v>
      </c>
      <c r="H153" s="213"/>
      <c r="I153" s="201"/>
      <c r="J153" s="202"/>
      <c r="K153" s="201"/>
      <c r="L153" s="201"/>
      <c r="M153" s="201"/>
      <c r="N153" s="203"/>
      <c r="O153" s="203"/>
      <c r="P153" s="202"/>
      <c r="Q153" s="202"/>
      <c r="R153" s="202"/>
      <c r="S153" s="202"/>
      <c r="T153" s="202"/>
      <c r="U153" s="202"/>
      <c r="V153" s="202"/>
      <c r="W153" s="203"/>
      <c r="X153" s="202"/>
      <c r="Y153" s="202"/>
      <c r="Z153" s="203"/>
    </row>
    <row r="154" spans="1:27">
      <c r="A154" s="218" t="s">
        <v>142</v>
      </c>
      <c r="B154" s="219" t="s">
        <v>143</v>
      </c>
      <c r="C154" s="218">
        <v>100</v>
      </c>
      <c r="D154" s="220">
        <f>0.9*1.67</f>
        <v>1.5029999999999999</v>
      </c>
      <c r="E154" s="220">
        <v>0.06</v>
      </c>
      <c r="F154" s="220">
        <f>8.28*1.667</f>
        <v>13.802759999999999</v>
      </c>
      <c r="G154" s="220">
        <v>64.28</v>
      </c>
      <c r="H154" s="213"/>
      <c r="I154" s="201"/>
      <c r="J154" s="202"/>
      <c r="K154" s="201"/>
      <c r="L154" s="201"/>
      <c r="M154" s="201"/>
      <c r="N154" s="203"/>
      <c r="O154" s="203"/>
      <c r="P154" s="202"/>
      <c r="Q154" s="202"/>
      <c r="R154" s="202"/>
      <c r="S154" s="202"/>
      <c r="T154" s="202"/>
      <c r="U154" s="202"/>
      <c r="V154" s="202"/>
      <c r="W154" s="203"/>
      <c r="X154" s="202"/>
      <c r="Y154" s="202"/>
      <c r="Z154" s="203"/>
    </row>
    <row r="155" spans="1:27" ht="25.5">
      <c r="A155" s="221" t="s">
        <v>101</v>
      </c>
      <c r="B155" s="219" t="s">
        <v>170</v>
      </c>
      <c r="C155" s="218">
        <v>255</v>
      </c>
      <c r="D155" s="220">
        <f>5.81*1.25</f>
        <v>7.2624999999999993</v>
      </c>
      <c r="E155" s="220">
        <f>11.82*1.25</f>
        <v>14.775</v>
      </c>
      <c r="F155" s="220">
        <f>15.48*1.25</f>
        <v>19.350000000000001</v>
      </c>
      <c r="G155" s="220">
        <f>196*1.25</f>
        <v>245</v>
      </c>
      <c r="H155" s="213"/>
      <c r="I155" s="201"/>
      <c r="J155" s="202"/>
      <c r="K155" s="201"/>
      <c r="L155" s="201"/>
      <c r="M155" s="201"/>
      <c r="N155" s="203"/>
      <c r="O155" s="203"/>
      <c r="P155" s="202"/>
      <c r="Q155" s="202"/>
      <c r="R155" s="202"/>
      <c r="S155" s="202"/>
      <c r="T155" s="202"/>
      <c r="U155" s="202"/>
      <c r="V155" s="202"/>
      <c r="W155" s="203"/>
      <c r="X155" s="202"/>
      <c r="Y155" s="202"/>
      <c r="Z155" s="203"/>
    </row>
    <row r="156" spans="1:27">
      <c r="A156" s="218" t="s">
        <v>221</v>
      </c>
      <c r="B156" s="219" t="s">
        <v>150</v>
      </c>
      <c r="C156" s="218">
        <v>105</v>
      </c>
      <c r="D156" s="220">
        <v>6.14</v>
      </c>
      <c r="E156" s="220">
        <v>11.91</v>
      </c>
      <c r="F156" s="220">
        <v>10.92</v>
      </c>
      <c r="G156" s="220">
        <v>178.84</v>
      </c>
      <c r="H156" s="213"/>
      <c r="I156" s="201"/>
      <c r="J156" s="202"/>
      <c r="K156" s="201"/>
      <c r="L156" s="201"/>
      <c r="M156" s="201"/>
      <c r="N156" s="203"/>
      <c r="O156" s="203"/>
      <c r="P156" s="202"/>
      <c r="Q156" s="202"/>
      <c r="R156" s="202"/>
      <c r="S156" s="202"/>
      <c r="T156" s="202"/>
      <c r="U156" s="202"/>
      <c r="V156" s="202"/>
      <c r="W156" s="203"/>
      <c r="X156" s="202"/>
      <c r="Y156" s="202"/>
      <c r="Z156" s="203"/>
    </row>
    <row r="157" spans="1:27">
      <c r="A157" s="218" t="s">
        <v>132</v>
      </c>
      <c r="B157" s="219" t="s">
        <v>133</v>
      </c>
      <c r="C157" s="218">
        <v>180</v>
      </c>
      <c r="D157" s="220">
        <f>5.77*1.2</f>
        <v>6.9239999999999995</v>
      </c>
      <c r="E157" s="220">
        <f>10.08*1.2</f>
        <v>12.096</v>
      </c>
      <c r="F157" s="220">
        <f>30.69*1.2</f>
        <v>36.828000000000003</v>
      </c>
      <c r="G157" s="220">
        <f>244*1.2</f>
        <v>292.8</v>
      </c>
      <c r="H157" s="213"/>
      <c r="I157" s="201"/>
      <c r="J157" s="202"/>
      <c r="K157" s="201"/>
      <c r="L157" s="201"/>
      <c r="M157" s="201"/>
      <c r="N157" s="203"/>
      <c r="O157" s="203"/>
      <c r="P157" s="202"/>
      <c r="Q157" s="202"/>
      <c r="R157" s="202"/>
      <c r="S157" s="202"/>
      <c r="T157" s="202"/>
      <c r="U157" s="202"/>
      <c r="V157" s="202"/>
      <c r="W157" s="203"/>
      <c r="X157" s="202"/>
      <c r="Y157" s="202"/>
      <c r="Z157" s="203"/>
    </row>
    <row r="158" spans="1:27">
      <c r="A158" s="221" t="s">
        <v>42</v>
      </c>
      <c r="B158" s="219" t="s">
        <v>216</v>
      </c>
      <c r="C158" s="218">
        <v>200</v>
      </c>
      <c r="D158" s="220">
        <v>1.1499999999999999</v>
      </c>
      <c r="E158" s="220"/>
      <c r="F158" s="220">
        <v>12.03</v>
      </c>
      <c r="G158" s="220">
        <v>55.4</v>
      </c>
      <c r="H158" s="213"/>
      <c r="I158" s="201"/>
      <c r="J158" s="202"/>
      <c r="K158" s="201"/>
      <c r="L158" s="201"/>
      <c r="M158" s="201"/>
      <c r="N158" s="203"/>
      <c r="O158" s="203"/>
      <c r="P158" s="202"/>
      <c r="Q158" s="202"/>
      <c r="R158" s="202"/>
      <c r="S158" s="202"/>
      <c r="T158" s="202"/>
      <c r="U158" s="202"/>
      <c r="V158" s="202"/>
      <c r="W158" s="203"/>
      <c r="X158" s="202"/>
      <c r="Y158" s="202"/>
      <c r="Z158" s="203"/>
    </row>
    <row r="159" spans="1:27">
      <c r="A159" s="222"/>
      <c r="B159" s="219" t="s">
        <v>11</v>
      </c>
      <c r="C159" s="218">
        <v>20</v>
      </c>
      <c r="D159" s="220">
        <v>1.52</v>
      </c>
      <c r="E159" s="220">
        <v>0.16</v>
      </c>
      <c r="F159" s="220">
        <v>9.84</v>
      </c>
      <c r="G159" s="220">
        <v>49.17</v>
      </c>
      <c r="H159" s="213"/>
      <c r="I159" s="201"/>
      <c r="J159" s="202"/>
      <c r="K159" s="201"/>
      <c r="L159" s="201"/>
      <c r="M159" s="201"/>
      <c r="N159" s="203"/>
      <c r="O159" s="203"/>
      <c r="P159" s="202"/>
      <c r="Q159" s="202"/>
      <c r="R159" s="202"/>
      <c r="S159" s="202"/>
      <c r="T159" s="202"/>
      <c r="U159" s="202"/>
      <c r="V159" s="202"/>
      <c r="W159" s="203"/>
      <c r="X159" s="202"/>
      <c r="Y159" s="202"/>
      <c r="Z159" s="203"/>
    </row>
    <row r="160" spans="1:27">
      <c r="A160" s="257" t="s">
        <v>244</v>
      </c>
      <c r="B160" s="257"/>
      <c r="C160" s="216">
        <f>SUM(C154:C159)</f>
        <v>860</v>
      </c>
      <c r="D160" s="218"/>
      <c r="E160" s="218"/>
      <c r="F160" s="218"/>
      <c r="G160" s="218"/>
      <c r="H160" s="213"/>
      <c r="I160" s="201"/>
      <c r="J160" s="202"/>
      <c r="K160" s="201"/>
      <c r="L160" s="201"/>
      <c r="M160" s="201"/>
      <c r="N160" s="203"/>
      <c r="O160" s="203"/>
      <c r="P160" s="202"/>
      <c r="Q160" s="202"/>
      <c r="R160" s="202"/>
      <c r="S160" s="202"/>
      <c r="T160" s="202"/>
      <c r="U160" s="202"/>
      <c r="V160" s="202"/>
      <c r="W160" s="203"/>
      <c r="X160" s="202"/>
      <c r="Y160" s="202"/>
      <c r="Z160" s="203"/>
    </row>
    <row r="161" spans="1:7">
      <c r="A161" s="259" t="s">
        <v>255</v>
      </c>
      <c r="B161" s="260"/>
      <c r="C161" s="261"/>
      <c r="D161" s="215">
        <f>D162+D170</f>
        <v>51.2027</v>
      </c>
      <c r="E161" s="215">
        <f>E162+E170</f>
        <v>56.559999999999988</v>
      </c>
      <c r="F161" s="215">
        <f>F162+F170</f>
        <v>237.63509999999999</v>
      </c>
      <c r="G161" s="215">
        <f>G162+G170</f>
        <v>1719.885</v>
      </c>
    </row>
    <row r="162" spans="1:7" ht="12.75" customHeight="1">
      <c r="A162" s="216"/>
      <c r="B162" s="217" t="s">
        <v>66</v>
      </c>
      <c r="C162" s="216"/>
      <c r="D162" s="215">
        <f>D163+D164+D165+D166+D167+D168</f>
        <v>18.97</v>
      </c>
      <c r="E162" s="215">
        <f>E163+E164+E165+E166+E167+E168</f>
        <v>19.209999999999997</v>
      </c>
      <c r="F162" s="215">
        <f>F163+F164+F165+F166+F167+F168</f>
        <v>107.91</v>
      </c>
      <c r="G162" s="215">
        <f>G163+G164+G165+G166+G167+G168</f>
        <v>706.83500000000004</v>
      </c>
    </row>
    <row r="163" spans="1:7">
      <c r="A163" s="218" t="s">
        <v>175</v>
      </c>
      <c r="B163" s="219" t="s">
        <v>35</v>
      </c>
      <c r="C163" s="218">
        <v>10</v>
      </c>
      <c r="D163" s="220">
        <v>2.6</v>
      </c>
      <c r="E163" s="220">
        <v>2.65</v>
      </c>
      <c r="F163" s="220">
        <v>0.35</v>
      </c>
      <c r="G163" s="220">
        <v>36.24</v>
      </c>
    </row>
    <row r="164" spans="1:7">
      <c r="A164" s="218" t="s">
        <v>173</v>
      </c>
      <c r="B164" s="219" t="s">
        <v>136</v>
      </c>
      <c r="C164" s="218">
        <v>5</v>
      </c>
      <c r="D164" s="220">
        <v>0.05</v>
      </c>
      <c r="E164" s="220">
        <v>3.63</v>
      </c>
      <c r="F164" s="220">
        <v>7.0000000000000007E-2</v>
      </c>
      <c r="G164" s="220">
        <v>33.11</v>
      </c>
    </row>
    <row r="165" spans="1:7" ht="25.5">
      <c r="A165" s="218" t="s">
        <v>174</v>
      </c>
      <c r="B165" s="219" t="s">
        <v>201</v>
      </c>
      <c r="C165" s="218">
        <v>255</v>
      </c>
      <c r="D165" s="220">
        <v>9.52</v>
      </c>
      <c r="E165" s="220">
        <v>7.81</v>
      </c>
      <c r="F165" s="220">
        <v>42.93</v>
      </c>
      <c r="G165" s="220">
        <v>290.56</v>
      </c>
    </row>
    <row r="166" spans="1:7">
      <c r="A166" s="221"/>
      <c r="B166" s="219" t="s">
        <v>62</v>
      </c>
      <c r="C166" s="218">
        <v>40</v>
      </c>
      <c r="D166" s="220">
        <v>3</v>
      </c>
      <c r="E166" s="220">
        <v>4.72</v>
      </c>
      <c r="F166" s="220">
        <v>29.96</v>
      </c>
      <c r="G166" s="220">
        <v>182</v>
      </c>
    </row>
    <row r="167" spans="1:7">
      <c r="A167" s="218" t="s">
        <v>176</v>
      </c>
      <c r="B167" s="219" t="s">
        <v>10</v>
      </c>
      <c r="C167" s="222">
        <v>200</v>
      </c>
      <c r="D167" s="220">
        <v>0</v>
      </c>
      <c r="E167" s="220">
        <v>0</v>
      </c>
      <c r="F167" s="220">
        <v>10</v>
      </c>
      <c r="G167" s="220">
        <v>42</v>
      </c>
    </row>
    <row r="168" spans="1:7">
      <c r="A168" s="218"/>
      <c r="B168" s="219" t="s">
        <v>11</v>
      </c>
      <c r="C168" s="218">
        <v>50</v>
      </c>
      <c r="D168" s="220">
        <f>3.04*1.25</f>
        <v>3.8</v>
      </c>
      <c r="E168" s="220">
        <f>0.32*1.25</f>
        <v>0.4</v>
      </c>
      <c r="F168" s="220">
        <f>19.68*1.25</f>
        <v>24.6</v>
      </c>
      <c r="G168" s="220">
        <f>98.34*1.25</f>
        <v>122.92500000000001</v>
      </c>
    </row>
    <row r="169" spans="1:7">
      <c r="A169" s="253" t="s">
        <v>244</v>
      </c>
      <c r="B169" s="254"/>
      <c r="C169" s="234">
        <f>C163+C164+C165+C166+C167+C168</f>
        <v>560</v>
      </c>
      <c r="D169" s="224"/>
      <c r="E169" s="224"/>
      <c r="F169" s="224"/>
      <c r="G169" s="224"/>
    </row>
    <row r="170" spans="1:7">
      <c r="A170" s="221"/>
      <c r="B170" s="240" t="s">
        <v>67</v>
      </c>
      <c r="C170" s="223"/>
      <c r="D170" s="229">
        <f>D171+D172+D173+D174+D175+D176</f>
        <v>32.232700000000001</v>
      </c>
      <c r="E170" s="229">
        <f>E171+E172+E173+E174+E175+E176</f>
        <v>37.349999999999994</v>
      </c>
      <c r="F170" s="229">
        <f>F171+F172+F173+F174+F175+F176</f>
        <v>129.7251</v>
      </c>
      <c r="G170" s="229">
        <f>G171+G172+G173+G174+G175+G176</f>
        <v>1013.05</v>
      </c>
    </row>
    <row r="171" spans="1:7">
      <c r="A171" s="218" t="s">
        <v>82</v>
      </c>
      <c r="B171" s="219" t="s">
        <v>83</v>
      </c>
      <c r="C171" s="218">
        <v>100</v>
      </c>
      <c r="D171" s="220">
        <f>1.21*1.67</f>
        <v>2.0206999999999997</v>
      </c>
      <c r="E171" s="220">
        <f>6.2*1.67</f>
        <v>10.353999999999999</v>
      </c>
      <c r="F171" s="220">
        <f>12.33*1.67</f>
        <v>20.591100000000001</v>
      </c>
      <c r="G171" s="220">
        <f>113*1.67</f>
        <v>188.70999999999998</v>
      </c>
    </row>
    <row r="172" spans="1:7" ht="25.5">
      <c r="A172" s="218" t="s">
        <v>279</v>
      </c>
      <c r="B172" s="225" t="s">
        <v>278</v>
      </c>
      <c r="C172" s="218">
        <v>255</v>
      </c>
      <c r="D172" s="220">
        <v>2.4500000000000002</v>
      </c>
      <c r="E172" s="220">
        <v>5.56</v>
      </c>
      <c r="F172" s="220">
        <v>17.149999999999999</v>
      </c>
      <c r="G172" s="220">
        <v>128.41</v>
      </c>
    </row>
    <row r="173" spans="1:7">
      <c r="A173" s="218" t="s">
        <v>220</v>
      </c>
      <c r="B173" s="225" t="s">
        <v>153</v>
      </c>
      <c r="C173" s="218">
        <v>110</v>
      </c>
      <c r="D173" s="220">
        <v>5.73</v>
      </c>
      <c r="E173" s="220">
        <v>16.34</v>
      </c>
      <c r="F173" s="220">
        <v>10.38</v>
      </c>
      <c r="G173" s="220">
        <v>215</v>
      </c>
    </row>
    <row r="174" spans="1:7">
      <c r="A174" s="221" t="s">
        <v>134</v>
      </c>
      <c r="B174" s="219" t="s">
        <v>154</v>
      </c>
      <c r="C174" s="218">
        <v>180</v>
      </c>
      <c r="D174" s="220">
        <f>16.26*1.2</f>
        <v>19.512</v>
      </c>
      <c r="E174" s="220">
        <f>4.03*1.2</f>
        <v>4.8360000000000003</v>
      </c>
      <c r="F174" s="220">
        <f>33.97*1.2</f>
        <v>40.763999999999996</v>
      </c>
      <c r="G174" s="220">
        <f>247.3*1.2</f>
        <v>296.76</v>
      </c>
    </row>
    <row r="175" spans="1:7" ht="25.5">
      <c r="A175" s="218" t="s">
        <v>42</v>
      </c>
      <c r="B175" s="219" t="s">
        <v>217</v>
      </c>
      <c r="C175" s="218">
        <v>200</v>
      </c>
      <c r="D175" s="220">
        <v>1</v>
      </c>
      <c r="E175" s="220">
        <v>0.1</v>
      </c>
      <c r="F175" s="220">
        <v>31</v>
      </c>
      <c r="G175" s="220">
        <v>135</v>
      </c>
    </row>
    <row r="176" spans="1:7">
      <c r="A176" s="222"/>
      <c r="B176" s="219" t="s">
        <v>11</v>
      </c>
      <c r="C176" s="218">
        <v>20</v>
      </c>
      <c r="D176" s="220">
        <v>1.52</v>
      </c>
      <c r="E176" s="220">
        <v>0.16</v>
      </c>
      <c r="F176" s="220">
        <v>9.84</v>
      </c>
      <c r="G176" s="220">
        <v>49.17</v>
      </c>
    </row>
    <row r="177" spans="1:7">
      <c r="A177" s="253" t="s">
        <v>244</v>
      </c>
      <c r="B177" s="254"/>
      <c r="C177" s="223">
        <v>865</v>
      </c>
      <c r="D177" s="224"/>
      <c r="E177" s="224"/>
      <c r="F177" s="224"/>
      <c r="G177" s="224"/>
    </row>
    <row r="178" spans="1:7" ht="12.75" customHeight="1">
      <c r="A178" s="259" t="s">
        <v>256</v>
      </c>
      <c r="B178" s="260"/>
      <c r="C178" s="261"/>
      <c r="D178" s="215">
        <f>D179+D185</f>
        <v>54.380499999999998</v>
      </c>
      <c r="E178" s="215">
        <f>E179+E185</f>
        <v>74.845499999999987</v>
      </c>
      <c r="F178" s="215">
        <f>F179+F185</f>
        <v>213.3475</v>
      </c>
      <c r="G178" s="215">
        <f>G179+G185</f>
        <v>1791.3950000000002</v>
      </c>
    </row>
    <row r="179" spans="1:7">
      <c r="A179" s="216"/>
      <c r="B179" s="217" t="s">
        <v>66</v>
      </c>
      <c r="C179" s="216"/>
      <c r="D179" s="215">
        <f>D180+D181+D182+D183</f>
        <v>20.052499999999998</v>
      </c>
      <c r="E179" s="215">
        <f>E180+E181+E182+E183</f>
        <v>14.8675</v>
      </c>
      <c r="F179" s="215">
        <f>F180+F181+F182+F183</f>
        <v>129.97749999999999</v>
      </c>
      <c r="G179" s="215">
        <f>G180+G181+G182+G183</f>
        <v>765.86500000000001</v>
      </c>
    </row>
    <row r="180" spans="1:7" ht="25.5">
      <c r="A180" s="218" t="s">
        <v>174</v>
      </c>
      <c r="B180" s="219" t="s">
        <v>199</v>
      </c>
      <c r="C180" s="218">
        <v>253</v>
      </c>
      <c r="D180" s="220">
        <f>7.81*1.25</f>
        <v>9.7624999999999993</v>
      </c>
      <c r="E180" s="220">
        <f>4.55*1.25</f>
        <v>5.6875</v>
      </c>
      <c r="F180" s="220">
        <f>33.47*1.25</f>
        <v>41.837499999999999</v>
      </c>
      <c r="G180" s="220">
        <v>267.91000000000003</v>
      </c>
    </row>
    <row r="181" spans="1:7">
      <c r="A181" s="221"/>
      <c r="B181" s="219" t="s">
        <v>62</v>
      </c>
      <c r="C181" s="218">
        <v>60</v>
      </c>
      <c r="D181" s="220">
        <f>1.5*3</f>
        <v>4.5</v>
      </c>
      <c r="E181" s="220">
        <f>2.36*3</f>
        <v>7.08</v>
      </c>
      <c r="F181" s="220">
        <f>14.98*3</f>
        <v>44.94</v>
      </c>
      <c r="G181" s="220">
        <f>91*3</f>
        <v>273</v>
      </c>
    </row>
    <row r="182" spans="1:7">
      <c r="A182" s="218" t="s">
        <v>177</v>
      </c>
      <c r="B182" s="219" t="s">
        <v>51</v>
      </c>
      <c r="C182" s="218">
        <v>200</v>
      </c>
      <c r="D182" s="220">
        <v>1.99</v>
      </c>
      <c r="E182" s="220">
        <v>1.7</v>
      </c>
      <c r="F182" s="220">
        <v>18.600000000000001</v>
      </c>
      <c r="G182" s="220">
        <v>102.03</v>
      </c>
    </row>
    <row r="183" spans="1:7">
      <c r="A183" s="218"/>
      <c r="B183" s="219" t="s">
        <v>11</v>
      </c>
      <c r="C183" s="218">
        <v>50</v>
      </c>
      <c r="D183" s="220">
        <f>3.04*1.25</f>
        <v>3.8</v>
      </c>
      <c r="E183" s="220">
        <f>0.32*1.25</f>
        <v>0.4</v>
      </c>
      <c r="F183" s="220">
        <f>19.68*1.25</f>
        <v>24.6</v>
      </c>
      <c r="G183" s="220">
        <f>98.34*1.25</f>
        <v>122.92500000000001</v>
      </c>
    </row>
    <row r="184" spans="1:7">
      <c r="A184" s="253" t="s">
        <v>244</v>
      </c>
      <c r="B184" s="254"/>
      <c r="C184" s="216">
        <f>SUM(C180:C183)</f>
        <v>563</v>
      </c>
      <c r="D184" s="220"/>
      <c r="E184" s="220"/>
      <c r="F184" s="220"/>
      <c r="G184" s="220"/>
    </row>
    <row r="185" spans="1:7">
      <c r="A185" s="218"/>
      <c r="B185" s="240" t="s">
        <v>67</v>
      </c>
      <c r="C185" s="216"/>
      <c r="D185" s="215">
        <f>D186+D187+D188+D189+D190+D191</f>
        <v>34.328000000000003</v>
      </c>
      <c r="E185" s="215">
        <f>E186+E187+E188+E189+E190+E191</f>
        <v>59.977999999999994</v>
      </c>
      <c r="F185" s="215">
        <f>F186+F187+F188+F189+F190+F191</f>
        <v>83.37</v>
      </c>
      <c r="G185" s="215">
        <f>G186+G187+G188+G189+G190+G191</f>
        <v>1025.5300000000002</v>
      </c>
    </row>
    <row r="186" spans="1:7">
      <c r="A186" s="218" t="s">
        <v>281</v>
      </c>
      <c r="B186" s="219" t="s">
        <v>280</v>
      </c>
      <c r="C186" s="218">
        <v>100</v>
      </c>
      <c r="D186" s="231">
        <v>0.8</v>
      </c>
      <c r="E186" s="220">
        <v>0</v>
      </c>
      <c r="F186" s="220">
        <v>1.7</v>
      </c>
      <c r="G186" s="220">
        <v>10</v>
      </c>
    </row>
    <row r="187" spans="1:7" ht="25.5">
      <c r="A187" s="218" t="s">
        <v>284</v>
      </c>
      <c r="B187" s="225" t="s">
        <v>285</v>
      </c>
      <c r="C187" s="218">
        <v>260</v>
      </c>
      <c r="D187" s="220">
        <v>16.25</v>
      </c>
      <c r="E187" s="220">
        <v>22.5</v>
      </c>
      <c r="F187" s="220">
        <v>15.34</v>
      </c>
      <c r="G187" s="220">
        <v>328.85</v>
      </c>
    </row>
    <row r="188" spans="1:7">
      <c r="A188" s="221" t="s">
        <v>43</v>
      </c>
      <c r="B188" s="219" t="s">
        <v>286</v>
      </c>
      <c r="C188" s="218">
        <v>100</v>
      </c>
      <c r="D188" s="220">
        <v>8.99</v>
      </c>
      <c r="E188" s="220">
        <v>33.909999999999997</v>
      </c>
      <c r="F188" s="220">
        <v>3.29</v>
      </c>
      <c r="G188" s="220">
        <v>354.31</v>
      </c>
    </row>
    <row r="189" spans="1:7">
      <c r="A189" s="218" t="s">
        <v>33</v>
      </c>
      <c r="B189" s="219" t="s">
        <v>12</v>
      </c>
      <c r="C189" s="218">
        <v>180</v>
      </c>
      <c r="D189" s="220">
        <f>5.64*1.2</f>
        <v>6.7679999999999998</v>
      </c>
      <c r="E189" s="220">
        <f>2.84*1.2</f>
        <v>3.4079999999999999</v>
      </c>
      <c r="F189" s="220">
        <f>36*1.2</f>
        <v>43.199999999999996</v>
      </c>
      <c r="G189" s="220">
        <f>201*1.2</f>
        <v>241.2</v>
      </c>
    </row>
    <row r="190" spans="1:7">
      <c r="A190" s="218" t="s">
        <v>176</v>
      </c>
      <c r="B190" s="219" t="s">
        <v>10</v>
      </c>
      <c r="C190" s="222">
        <v>200</v>
      </c>
      <c r="D190" s="220">
        <v>0</v>
      </c>
      <c r="E190" s="220">
        <v>0</v>
      </c>
      <c r="F190" s="220">
        <v>10</v>
      </c>
      <c r="G190" s="220">
        <v>42</v>
      </c>
    </row>
    <row r="191" spans="1:7">
      <c r="A191" s="222"/>
      <c r="B191" s="219" t="s">
        <v>11</v>
      </c>
      <c r="C191" s="218">
        <v>20</v>
      </c>
      <c r="D191" s="220">
        <v>1.52</v>
      </c>
      <c r="E191" s="220">
        <v>0.16</v>
      </c>
      <c r="F191" s="220">
        <v>9.84</v>
      </c>
      <c r="G191" s="220">
        <v>49.17</v>
      </c>
    </row>
    <row r="192" spans="1:7">
      <c r="A192" s="253" t="s">
        <v>244</v>
      </c>
      <c r="B192" s="254"/>
      <c r="C192" s="216">
        <f>SUM(C186:C191)</f>
        <v>860</v>
      </c>
      <c r="D192" s="220"/>
      <c r="E192" s="220"/>
      <c r="F192" s="220"/>
      <c r="G192" s="220"/>
    </row>
    <row r="193" spans="1:7">
      <c r="A193" s="259" t="s">
        <v>257</v>
      </c>
      <c r="B193" s="260"/>
      <c r="C193" s="261"/>
      <c r="D193" s="215">
        <f>D194+D200</f>
        <v>38.9529</v>
      </c>
      <c r="E193" s="215">
        <f>E194+E200</f>
        <v>51.349600000000002</v>
      </c>
      <c r="F193" s="215">
        <f>F194+F200</f>
        <v>184.39359999999999</v>
      </c>
      <c r="G193" s="215">
        <f>G194+G200</f>
        <v>1391.75</v>
      </c>
    </row>
    <row r="194" spans="1:7">
      <c r="A194" s="216"/>
      <c r="B194" s="217" t="s">
        <v>66</v>
      </c>
      <c r="C194" s="216"/>
      <c r="D194" s="215">
        <f>D195+D196+D197+D198</f>
        <v>12.770000000000001</v>
      </c>
      <c r="E194" s="215">
        <f>E195+E196+E197+E198</f>
        <v>11.03</v>
      </c>
      <c r="F194" s="215">
        <f>F195+F196+F197+F198</f>
        <v>99.83</v>
      </c>
      <c r="G194" s="215">
        <f>G195+G196+G197+G198</f>
        <v>571.95000000000005</v>
      </c>
    </row>
    <row r="195" spans="1:7">
      <c r="A195" s="218"/>
      <c r="B195" s="219" t="s">
        <v>41</v>
      </c>
      <c r="C195" s="218">
        <v>100</v>
      </c>
      <c r="D195" s="220">
        <v>0.4</v>
      </c>
      <c r="E195" s="220">
        <v>0</v>
      </c>
      <c r="F195" s="220">
        <v>9.8000000000000007</v>
      </c>
      <c r="G195" s="220">
        <v>42.84</v>
      </c>
    </row>
    <row r="196" spans="1:7" ht="25.5">
      <c r="A196" s="218" t="s">
        <v>174</v>
      </c>
      <c r="B196" s="219" t="s">
        <v>196</v>
      </c>
      <c r="C196" s="218">
        <v>205</v>
      </c>
      <c r="D196" s="220">
        <v>6.81</v>
      </c>
      <c r="E196" s="220">
        <v>10.45</v>
      </c>
      <c r="F196" s="220">
        <v>29.51</v>
      </c>
      <c r="G196" s="220">
        <v>246.6</v>
      </c>
    </row>
    <row r="197" spans="1:7" ht="25.5">
      <c r="A197" s="218" t="s">
        <v>42</v>
      </c>
      <c r="B197" s="219" t="s">
        <v>217</v>
      </c>
      <c r="C197" s="218">
        <v>200</v>
      </c>
      <c r="D197" s="220">
        <v>1</v>
      </c>
      <c r="E197" s="220">
        <v>0.1</v>
      </c>
      <c r="F197" s="220">
        <v>31</v>
      </c>
      <c r="G197" s="220">
        <v>135</v>
      </c>
    </row>
    <row r="198" spans="1:7">
      <c r="A198" s="221"/>
      <c r="B198" s="219" t="s">
        <v>11</v>
      </c>
      <c r="C198" s="218">
        <v>60</v>
      </c>
      <c r="D198" s="220">
        <f>3.04*1.5</f>
        <v>4.5600000000000005</v>
      </c>
      <c r="E198" s="220">
        <f>0.32*1.5</f>
        <v>0.48</v>
      </c>
      <c r="F198" s="220">
        <f>19.68*1.5</f>
        <v>29.52</v>
      </c>
      <c r="G198" s="220">
        <f>98.34*1.5</f>
        <v>147.51</v>
      </c>
    </row>
    <row r="199" spans="1:7">
      <c r="A199" s="253" t="s">
        <v>244</v>
      </c>
      <c r="B199" s="254"/>
      <c r="C199" s="216">
        <f>SUM(C195:C198)</f>
        <v>565</v>
      </c>
      <c r="D199" s="220"/>
      <c r="E199" s="220"/>
      <c r="F199" s="220"/>
      <c r="G199" s="220"/>
    </row>
    <row r="200" spans="1:7">
      <c r="A200" s="218"/>
      <c r="B200" s="240" t="s">
        <v>67</v>
      </c>
      <c r="C200" s="216"/>
      <c r="D200" s="215">
        <f>D201+D202+D203+D204+D205</f>
        <v>26.1829</v>
      </c>
      <c r="E200" s="215">
        <f>E201+E202+E203+E204+E205</f>
        <v>40.319600000000001</v>
      </c>
      <c r="F200" s="215">
        <f>F201+F202+F203+F204+F205</f>
        <v>84.563599999999994</v>
      </c>
      <c r="G200" s="215">
        <f>G201+G202+G203+G204+G205</f>
        <v>819.8</v>
      </c>
    </row>
    <row r="201" spans="1:7">
      <c r="A201" s="218" t="s">
        <v>186</v>
      </c>
      <c r="B201" s="219" t="s">
        <v>137</v>
      </c>
      <c r="C201" s="218">
        <v>100</v>
      </c>
      <c r="D201" s="220">
        <f>0.94*1.66</f>
        <v>1.5603999999999998</v>
      </c>
      <c r="E201" s="220">
        <f>4.06*1.66</f>
        <v>6.7395999999999994</v>
      </c>
      <c r="F201" s="220">
        <f>5.96*1.66</f>
        <v>9.8935999999999993</v>
      </c>
      <c r="G201" s="220">
        <v>108.76</v>
      </c>
    </row>
    <row r="202" spans="1:7" ht="25.5">
      <c r="A202" s="218" t="s">
        <v>179</v>
      </c>
      <c r="B202" s="219" t="s">
        <v>141</v>
      </c>
      <c r="C202" s="218">
        <v>255</v>
      </c>
      <c r="D202" s="220">
        <f>2.57*1.25</f>
        <v>3.2124999999999999</v>
      </c>
      <c r="E202" s="220">
        <f>9.24*1.25</f>
        <v>11.55</v>
      </c>
      <c r="F202" s="220">
        <f>18.04*1.25</f>
        <v>22.549999999999997</v>
      </c>
      <c r="G202" s="220">
        <f>169.72*1.25</f>
        <v>212.15</v>
      </c>
    </row>
    <row r="203" spans="1:7" ht="25.5">
      <c r="A203" s="218" t="s">
        <v>283</v>
      </c>
      <c r="B203" s="225" t="s">
        <v>282</v>
      </c>
      <c r="C203" s="218">
        <v>200</v>
      </c>
      <c r="D203" s="220">
        <v>18.91</v>
      </c>
      <c r="E203" s="220">
        <v>21.83</v>
      </c>
      <c r="F203" s="220">
        <v>22.12</v>
      </c>
      <c r="G203" s="220">
        <v>360.59</v>
      </c>
    </row>
    <row r="204" spans="1:7">
      <c r="A204" s="221" t="s">
        <v>176</v>
      </c>
      <c r="B204" s="219" t="s">
        <v>10</v>
      </c>
      <c r="C204" s="218">
        <v>200</v>
      </c>
      <c r="D204" s="220">
        <v>0</v>
      </c>
      <c r="E204" s="220">
        <v>0</v>
      </c>
      <c r="F204" s="220">
        <v>10</v>
      </c>
      <c r="G204" s="220">
        <v>42</v>
      </c>
    </row>
    <row r="205" spans="1:7">
      <c r="A205" s="222"/>
      <c r="B205" s="219" t="s">
        <v>37</v>
      </c>
      <c r="C205" s="218">
        <v>50</v>
      </c>
      <c r="D205" s="220">
        <v>2.5</v>
      </c>
      <c r="E205" s="220">
        <v>0.2</v>
      </c>
      <c r="F205" s="220">
        <v>20</v>
      </c>
      <c r="G205" s="220">
        <v>96.3</v>
      </c>
    </row>
    <row r="206" spans="1:7">
      <c r="A206" s="253" t="s">
        <v>244</v>
      </c>
      <c r="B206" s="254"/>
      <c r="C206" s="216">
        <f>SUM(C201:C205)</f>
        <v>805</v>
      </c>
      <c r="D206" s="220"/>
      <c r="E206" s="220"/>
      <c r="F206" s="220"/>
      <c r="G206" s="220"/>
    </row>
    <row r="207" spans="1:7">
      <c r="A207" s="259" t="s">
        <v>267</v>
      </c>
      <c r="B207" s="260"/>
      <c r="C207" s="261"/>
      <c r="D207" s="215">
        <f>D208+D214</f>
        <v>41.080500000000001</v>
      </c>
      <c r="E207" s="215">
        <f>E208+E214</f>
        <v>32.305</v>
      </c>
      <c r="F207" s="215">
        <f>F208+F214</f>
        <v>225.01776000000001</v>
      </c>
      <c r="G207" s="215">
        <f>G208+G214</f>
        <v>1396.845</v>
      </c>
    </row>
    <row r="208" spans="1:7">
      <c r="A208" s="216"/>
      <c r="B208" s="217" t="s">
        <v>66</v>
      </c>
      <c r="C208" s="216"/>
      <c r="D208" s="215">
        <f>D209+D210+D211+D212</f>
        <v>17.805</v>
      </c>
      <c r="E208" s="215">
        <f>E209+E210+E211+E212</f>
        <v>9.5024999999999995</v>
      </c>
      <c r="F208" s="215">
        <f>F209+F210+F211+F212</f>
        <v>135.35</v>
      </c>
      <c r="G208" s="215">
        <f>G209+G210+G211+G212</f>
        <v>728.79500000000007</v>
      </c>
    </row>
    <row r="209" spans="1:7">
      <c r="A209" s="221" t="s">
        <v>192</v>
      </c>
      <c r="B209" s="219" t="s">
        <v>190</v>
      </c>
      <c r="C209" s="218">
        <v>60</v>
      </c>
      <c r="D209" s="220">
        <v>4.91</v>
      </c>
      <c r="E209" s="220">
        <v>3.79</v>
      </c>
      <c r="F209" s="220">
        <v>36.090000000000003</v>
      </c>
      <c r="G209" s="220">
        <v>206.31</v>
      </c>
    </row>
    <row r="210" spans="1:7" ht="25.5">
      <c r="A210" s="218" t="s">
        <v>174</v>
      </c>
      <c r="B210" s="219" t="s">
        <v>200</v>
      </c>
      <c r="C210" s="218">
        <v>253</v>
      </c>
      <c r="D210" s="220">
        <f>7.26*1.25</f>
        <v>9.0749999999999993</v>
      </c>
      <c r="E210" s="220">
        <f>4.25*1.25</f>
        <v>5.3125</v>
      </c>
      <c r="F210" s="220">
        <f>36.28*1.25</f>
        <v>45.35</v>
      </c>
      <c r="G210" s="220">
        <v>276.39999999999998</v>
      </c>
    </row>
    <row r="211" spans="1:7" ht="25.5">
      <c r="A211" s="221" t="s">
        <v>40</v>
      </c>
      <c r="B211" s="219" t="s">
        <v>218</v>
      </c>
      <c r="C211" s="218">
        <v>200</v>
      </c>
      <c r="D211" s="220">
        <v>0.02</v>
      </c>
      <c r="E211" s="220"/>
      <c r="F211" s="220">
        <v>29.31</v>
      </c>
      <c r="G211" s="220">
        <v>123.16</v>
      </c>
    </row>
    <row r="212" spans="1:7">
      <c r="A212" s="218"/>
      <c r="B212" s="219" t="s">
        <v>11</v>
      </c>
      <c r="C212" s="218">
        <v>50</v>
      </c>
      <c r="D212" s="220">
        <f>3.04*1.25</f>
        <v>3.8</v>
      </c>
      <c r="E212" s="220">
        <f>0.32*1.25</f>
        <v>0.4</v>
      </c>
      <c r="F212" s="220">
        <f>19.68*1.25</f>
        <v>24.6</v>
      </c>
      <c r="G212" s="220">
        <f>98.34*1.25</f>
        <v>122.92500000000001</v>
      </c>
    </row>
    <row r="213" spans="1:7">
      <c r="A213" s="253" t="s">
        <v>244</v>
      </c>
      <c r="B213" s="254"/>
      <c r="C213" s="216">
        <f>SUM(C209:C212)</f>
        <v>563</v>
      </c>
      <c r="D213" s="220"/>
      <c r="E213" s="220"/>
      <c r="F213" s="220"/>
      <c r="G213" s="220"/>
    </row>
    <row r="214" spans="1:7">
      <c r="A214" s="218"/>
      <c r="B214" s="240" t="s">
        <v>67</v>
      </c>
      <c r="C214" s="216"/>
      <c r="D214" s="215">
        <f>D215+D216+D217+D218+D219+D220</f>
        <v>23.275499999999997</v>
      </c>
      <c r="E214" s="215">
        <f>E215+E216+E217+E218+E219+E220</f>
        <v>22.802499999999998</v>
      </c>
      <c r="F214" s="215">
        <f>F215+F216+F217+F218+F219+F220</f>
        <v>89.667760000000001</v>
      </c>
      <c r="G214" s="215">
        <f>G215+G216+G217+G218+G219+G220</f>
        <v>668.05</v>
      </c>
    </row>
    <row r="215" spans="1:7">
      <c r="A215" s="218" t="s">
        <v>142</v>
      </c>
      <c r="B215" s="219" t="s">
        <v>143</v>
      </c>
      <c r="C215" s="218">
        <v>100</v>
      </c>
      <c r="D215" s="220">
        <f>0.9*1.67</f>
        <v>1.5029999999999999</v>
      </c>
      <c r="E215" s="220">
        <v>0.06</v>
      </c>
      <c r="F215" s="220">
        <f>8.28*1.667</f>
        <v>13.802759999999999</v>
      </c>
      <c r="G215" s="220">
        <v>64.28</v>
      </c>
    </row>
    <row r="216" spans="1:7">
      <c r="A216" s="218" t="s">
        <v>178</v>
      </c>
      <c r="B216" s="219" t="s">
        <v>138</v>
      </c>
      <c r="C216" s="218">
        <v>255</v>
      </c>
      <c r="D216" s="220">
        <f>3.09*1.25</f>
        <v>3.8624999999999998</v>
      </c>
      <c r="E216" s="220">
        <f>4.61*1.25</f>
        <v>5.7625000000000002</v>
      </c>
      <c r="F216" s="220">
        <f>12.54*1.25</f>
        <v>15.674999999999999</v>
      </c>
      <c r="G216" s="220">
        <f>107.36*1.25</f>
        <v>134.19999999999999</v>
      </c>
    </row>
    <row r="217" spans="1:7">
      <c r="A217" s="218" t="s">
        <v>266</v>
      </c>
      <c r="B217" s="219" t="s">
        <v>265</v>
      </c>
      <c r="C217" s="218">
        <v>100</v>
      </c>
      <c r="D217" s="220">
        <v>11.31</v>
      </c>
      <c r="E217" s="220">
        <v>10.82</v>
      </c>
      <c r="F217" s="220">
        <v>11.3</v>
      </c>
      <c r="G217" s="220">
        <v>187.84</v>
      </c>
    </row>
    <row r="218" spans="1:7">
      <c r="A218" s="218" t="s">
        <v>288</v>
      </c>
      <c r="B218" s="219" t="s">
        <v>287</v>
      </c>
      <c r="C218" s="218">
        <v>180</v>
      </c>
      <c r="D218" s="220">
        <v>5.08</v>
      </c>
      <c r="E218" s="220">
        <v>6</v>
      </c>
      <c r="F218" s="220">
        <v>29.05</v>
      </c>
      <c r="G218" s="220">
        <v>190.56</v>
      </c>
    </row>
    <row r="219" spans="1:7">
      <c r="A219" s="221" t="s">
        <v>176</v>
      </c>
      <c r="B219" s="219" t="s">
        <v>10</v>
      </c>
      <c r="C219" s="218">
        <v>200</v>
      </c>
      <c r="D219" s="220">
        <v>0</v>
      </c>
      <c r="E219" s="220">
        <v>0</v>
      </c>
      <c r="F219" s="220">
        <v>10</v>
      </c>
      <c r="G219" s="220">
        <v>42</v>
      </c>
    </row>
    <row r="220" spans="1:7">
      <c r="A220" s="218"/>
      <c r="B220" s="219" t="s">
        <v>11</v>
      </c>
      <c r="C220" s="218">
        <v>20</v>
      </c>
      <c r="D220" s="220">
        <v>1.52</v>
      </c>
      <c r="E220" s="220">
        <v>0.16</v>
      </c>
      <c r="F220" s="220">
        <v>9.84</v>
      </c>
      <c r="G220" s="220">
        <v>49.17</v>
      </c>
    </row>
    <row r="221" spans="1:7">
      <c r="A221" s="253" t="s">
        <v>244</v>
      </c>
      <c r="B221" s="254"/>
      <c r="C221" s="216">
        <f>SUM(C215:C220)</f>
        <v>855</v>
      </c>
      <c r="D221" s="220"/>
      <c r="E221" s="220"/>
      <c r="F221" s="220"/>
      <c r="G221" s="220"/>
    </row>
    <row r="222" spans="1:7">
      <c r="A222" s="259" t="s">
        <v>268</v>
      </c>
      <c r="B222" s="260"/>
      <c r="C222" s="261"/>
      <c r="D222" s="215">
        <f>D223+D229</f>
        <v>42.5535</v>
      </c>
      <c r="E222" s="215">
        <f>E223+E229</f>
        <v>50.963700000000003</v>
      </c>
      <c r="F222" s="215">
        <f>F223+F229</f>
        <v>203.8038</v>
      </c>
      <c r="G222" s="215">
        <f>G223+G229</f>
        <v>1484.2759999999998</v>
      </c>
    </row>
    <row r="223" spans="1:7">
      <c r="A223" s="216"/>
      <c r="B223" s="217" t="s">
        <v>66</v>
      </c>
      <c r="C223" s="216"/>
      <c r="D223" s="215">
        <f>D224+D225+D226+D227</f>
        <v>16.399999999999999</v>
      </c>
      <c r="E223" s="215">
        <f>E224+E225+E226+E227</f>
        <v>9.7000000000000011</v>
      </c>
      <c r="F223" s="215">
        <f>F224+F225+F226+F227</f>
        <v>98.97</v>
      </c>
      <c r="G223" s="215">
        <f>G224+G225+G226+G227</f>
        <v>571.91</v>
      </c>
    </row>
    <row r="224" spans="1:7">
      <c r="A224" s="218"/>
      <c r="B224" s="219" t="s">
        <v>41</v>
      </c>
      <c r="C224" s="218">
        <v>100</v>
      </c>
      <c r="D224" s="220">
        <v>0.4</v>
      </c>
      <c r="E224" s="220">
        <v>0</v>
      </c>
      <c r="F224" s="220">
        <v>9.8000000000000007</v>
      </c>
      <c r="G224" s="220">
        <v>42.84</v>
      </c>
    </row>
    <row r="225" spans="1:7">
      <c r="A225" s="218" t="s">
        <v>193</v>
      </c>
      <c r="B225" s="219" t="s">
        <v>191</v>
      </c>
      <c r="C225" s="218">
        <v>203</v>
      </c>
      <c r="D225" s="220">
        <v>11.44</v>
      </c>
      <c r="E225" s="220">
        <v>9.2200000000000006</v>
      </c>
      <c r="F225" s="220">
        <v>49.65</v>
      </c>
      <c r="G225" s="220">
        <v>339.56</v>
      </c>
    </row>
    <row r="226" spans="1:7">
      <c r="A226" s="222" t="s">
        <v>176</v>
      </c>
      <c r="B226" s="219" t="s">
        <v>10</v>
      </c>
      <c r="C226" s="222">
        <v>200</v>
      </c>
      <c r="D226" s="220">
        <v>0</v>
      </c>
      <c r="E226" s="220">
        <v>0</v>
      </c>
      <c r="F226" s="220">
        <v>10</v>
      </c>
      <c r="G226" s="220">
        <v>42</v>
      </c>
    </row>
    <row r="227" spans="1:7">
      <c r="A227" s="218"/>
      <c r="B227" s="219" t="s">
        <v>11</v>
      </c>
      <c r="C227" s="218">
        <v>60</v>
      </c>
      <c r="D227" s="220">
        <f>3.04*1.5</f>
        <v>4.5600000000000005</v>
      </c>
      <c r="E227" s="220">
        <f>0.32*1.5</f>
        <v>0.48</v>
      </c>
      <c r="F227" s="220">
        <f>19.68*1.5</f>
        <v>29.52</v>
      </c>
      <c r="G227" s="220">
        <f>98.34*1.5</f>
        <v>147.51</v>
      </c>
    </row>
    <row r="228" spans="1:7">
      <c r="A228" s="253" t="s">
        <v>244</v>
      </c>
      <c r="B228" s="254"/>
      <c r="C228" s="216">
        <f>SUM(C224:C227)</f>
        <v>563</v>
      </c>
      <c r="D228" s="220"/>
      <c r="E228" s="220"/>
      <c r="F228" s="220"/>
      <c r="G228" s="220"/>
    </row>
    <row r="229" spans="1:7">
      <c r="A229" s="218"/>
      <c r="B229" s="240" t="s">
        <v>67</v>
      </c>
      <c r="C229" s="216"/>
      <c r="D229" s="215">
        <f>D230+D231+D232+D233+D234</f>
        <v>26.153499999999998</v>
      </c>
      <c r="E229" s="215">
        <f>E230+E231+E232+E233+E234</f>
        <v>41.2637</v>
      </c>
      <c r="F229" s="215">
        <f>F230+F231+F232+F233+F234</f>
        <v>104.8338</v>
      </c>
      <c r="G229" s="215">
        <f>G230+G231+G232+G233+G234</f>
        <v>912.36599999999999</v>
      </c>
    </row>
    <row r="230" spans="1:7">
      <c r="A230" s="218" t="s">
        <v>184</v>
      </c>
      <c r="B230" s="219" t="s">
        <v>151</v>
      </c>
      <c r="C230" s="218">
        <v>100</v>
      </c>
      <c r="D230" s="220">
        <f>0.8*1.67</f>
        <v>1.3360000000000001</v>
      </c>
      <c r="E230" s="220">
        <f>3.11*1.67</f>
        <v>5.1936999999999998</v>
      </c>
      <c r="F230" s="220">
        <f>5.64*1.67</f>
        <v>9.4187999999999992</v>
      </c>
      <c r="G230" s="220">
        <f>55.8*1.67</f>
        <v>93.185999999999993</v>
      </c>
    </row>
    <row r="231" spans="1:7" ht="25.5">
      <c r="A231" s="218" t="s">
        <v>180</v>
      </c>
      <c r="B231" s="219" t="s">
        <v>148</v>
      </c>
      <c r="C231" s="218">
        <v>260</v>
      </c>
      <c r="D231" s="220">
        <f>6.51*1.25</f>
        <v>8.1374999999999993</v>
      </c>
      <c r="E231" s="220">
        <f>12.28*1.25</f>
        <v>15.35</v>
      </c>
      <c r="F231" s="220">
        <f>18.94*1.25</f>
        <v>23.675000000000001</v>
      </c>
      <c r="G231" s="220">
        <v>271.76</v>
      </c>
    </row>
    <row r="232" spans="1:7">
      <c r="A232" s="221" t="s">
        <v>290</v>
      </c>
      <c r="B232" s="219" t="s">
        <v>294</v>
      </c>
      <c r="C232" s="218">
        <v>200</v>
      </c>
      <c r="D232" s="220">
        <v>12.49</v>
      </c>
      <c r="E232" s="220">
        <v>20.399999999999999</v>
      </c>
      <c r="F232" s="220">
        <v>40.03</v>
      </c>
      <c r="G232" s="220">
        <v>393.68</v>
      </c>
    </row>
    <row r="233" spans="1:7">
      <c r="A233" s="221" t="s">
        <v>42</v>
      </c>
      <c r="B233" s="219" t="s">
        <v>216</v>
      </c>
      <c r="C233" s="218">
        <v>200</v>
      </c>
      <c r="D233" s="220">
        <f>1.15</f>
        <v>1.1499999999999999</v>
      </c>
      <c r="E233" s="220"/>
      <c r="F233" s="220">
        <v>12.03</v>
      </c>
      <c r="G233" s="220">
        <v>55.4</v>
      </c>
    </row>
    <row r="234" spans="1:7">
      <c r="A234" s="218"/>
      <c r="B234" s="219" t="s">
        <v>11</v>
      </c>
      <c r="C234" s="218">
        <v>40</v>
      </c>
      <c r="D234" s="220">
        <v>3.04</v>
      </c>
      <c r="E234" s="220">
        <v>0.32</v>
      </c>
      <c r="F234" s="220">
        <v>19.68</v>
      </c>
      <c r="G234" s="220">
        <v>98.34</v>
      </c>
    </row>
    <row r="235" spans="1:7">
      <c r="A235" s="253" t="s">
        <v>244</v>
      </c>
      <c r="B235" s="254"/>
      <c r="C235" s="216">
        <f>SUM(C230:C234)</f>
        <v>800</v>
      </c>
      <c r="D235" s="220"/>
      <c r="E235" s="220"/>
      <c r="F235" s="220"/>
      <c r="G235" s="220"/>
    </row>
    <row r="236" spans="1:7">
      <c r="A236" s="259" t="s">
        <v>269</v>
      </c>
      <c r="B236" s="260"/>
      <c r="C236" s="261"/>
      <c r="D236" s="215">
        <f>D237+D245</f>
        <v>38.726900000000001</v>
      </c>
      <c r="E236" s="215">
        <f>E237+E245</f>
        <v>48.107599999999998</v>
      </c>
      <c r="F236" s="215">
        <f>F237+F245</f>
        <v>223.17160000000001</v>
      </c>
      <c r="G236" s="215">
        <f>G237+G245</f>
        <v>1532.58</v>
      </c>
    </row>
    <row r="237" spans="1:7">
      <c r="A237" s="216"/>
      <c r="B237" s="217" t="s">
        <v>66</v>
      </c>
      <c r="C237" s="216"/>
      <c r="D237" s="215">
        <f>D238+D239+D240+D241+D242+D243</f>
        <v>14.770000000000001</v>
      </c>
      <c r="E237" s="215">
        <f>E238+E239+E240+E241+E242+E243</f>
        <v>11.42</v>
      </c>
      <c r="F237" s="215">
        <f>F238+F239+F240+F241+F242+F243</f>
        <v>90.26</v>
      </c>
      <c r="G237" s="215">
        <f>G238+G239+G240+G241+G242+G243</f>
        <v>544.66</v>
      </c>
    </row>
    <row r="238" spans="1:7">
      <c r="A238" s="238" t="s">
        <v>175</v>
      </c>
      <c r="B238" s="237" t="s">
        <v>35</v>
      </c>
      <c r="C238" s="238">
        <v>10</v>
      </c>
      <c r="D238" s="239">
        <v>2.6</v>
      </c>
      <c r="E238" s="239">
        <v>2.65</v>
      </c>
      <c r="F238" s="239">
        <v>0.35</v>
      </c>
      <c r="G238" s="239">
        <v>36.24</v>
      </c>
    </row>
    <row r="239" spans="1:7">
      <c r="A239" s="238" t="s">
        <v>173</v>
      </c>
      <c r="B239" s="237" t="s">
        <v>136</v>
      </c>
      <c r="C239" s="238">
        <v>5</v>
      </c>
      <c r="D239" s="239">
        <v>0.05</v>
      </c>
      <c r="E239" s="239">
        <v>3.63</v>
      </c>
      <c r="F239" s="239">
        <v>7.0000000000000007E-2</v>
      </c>
      <c r="G239" s="239">
        <v>33.11</v>
      </c>
    </row>
    <row r="240" spans="1:7">
      <c r="A240" s="218"/>
      <c r="B240" s="219" t="s">
        <v>41</v>
      </c>
      <c r="C240" s="218">
        <v>100</v>
      </c>
      <c r="D240" s="220">
        <v>0.4</v>
      </c>
      <c r="E240" s="220">
        <v>0</v>
      </c>
      <c r="F240" s="220">
        <v>9.8000000000000007</v>
      </c>
      <c r="G240" s="220">
        <v>42.84</v>
      </c>
    </row>
    <row r="241" spans="1:7" ht="25.5">
      <c r="A241" s="218" t="s">
        <v>174</v>
      </c>
      <c r="B241" s="219" t="s">
        <v>202</v>
      </c>
      <c r="C241" s="218">
        <v>203</v>
      </c>
      <c r="D241" s="220">
        <v>7.16</v>
      </c>
      <c r="E241" s="220">
        <v>4.66</v>
      </c>
      <c r="F241" s="220">
        <v>40.520000000000003</v>
      </c>
      <c r="G241" s="220">
        <v>242.96</v>
      </c>
    </row>
    <row r="242" spans="1:7">
      <c r="A242" s="244" t="s">
        <v>176</v>
      </c>
      <c r="B242" s="237" t="s">
        <v>10</v>
      </c>
      <c r="C242" s="244">
        <v>200</v>
      </c>
      <c r="D242" s="239">
        <v>0</v>
      </c>
      <c r="E242" s="239">
        <v>0</v>
      </c>
      <c r="F242" s="239">
        <v>10</v>
      </c>
      <c r="G242" s="239">
        <v>42</v>
      </c>
    </row>
    <row r="243" spans="1:7">
      <c r="A243" s="222"/>
      <c r="B243" s="219" t="s">
        <v>11</v>
      </c>
      <c r="C243" s="218">
        <v>60</v>
      </c>
      <c r="D243" s="220">
        <f>3.04*1.5</f>
        <v>4.5600000000000005</v>
      </c>
      <c r="E243" s="220">
        <f>0.32*1.5</f>
        <v>0.48</v>
      </c>
      <c r="F243" s="220">
        <f>19.68*1.5</f>
        <v>29.52</v>
      </c>
      <c r="G243" s="220">
        <f>98.34*1.5</f>
        <v>147.51</v>
      </c>
    </row>
    <row r="244" spans="1:7">
      <c r="A244" s="253" t="s">
        <v>244</v>
      </c>
      <c r="B244" s="254"/>
      <c r="C244" s="223">
        <v>578</v>
      </c>
      <c r="D244" s="224"/>
      <c r="E244" s="224"/>
      <c r="F244" s="224"/>
      <c r="G244" s="224"/>
    </row>
    <row r="245" spans="1:7">
      <c r="A245" s="221"/>
      <c r="B245" s="240" t="s">
        <v>67</v>
      </c>
      <c r="C245" s="223"/>
      <c r="D245" s="229">
        <f>D246+D247+D248+D249+D250+D251</f>
        <v>23.956900000000001</v>
      </c>
      <c r="E245" s="229">
        <f>E246+E247+E248+E249+E250+E251</f>
        <v>36.687599999999996</v>
      </c>
      <c r="F245" s="229">
        <f>F246+F247+F248+F249+F250+F251</f>
        <v>132.91159999999999</v>
      </c>
      <c r="G245" s="229">
        <f>G246+G247+G248+G249+G250+G251</f>
        <v>987.92</v>
      </c>
    </row>
    <row r="246" spans="1:7">
      <c r="A246" s="218" t="s">
        <v>186</v>
      </c>
      <c r="B246" s="219" t="s">
        <v>137</v>
      </c>
      <c r="C246" s="218">
        <v>100</v>
      </c>
      <c r="D246" s="220">
        <f>0.94*1.66</f>
        <v>1.5603999999999998</v>
      </c>
      <c r="E246" s="220">
        <f>4.06*1.66</f>
        <v>6.7395999999999994</v>
      </c>
      <c r="F246" s="220">
        <f>5.96*1.66</f>
        <v>9.8935999999999993</v>
      </c>
      <c r="G246" s="220">
        <v>108.76</v>
      </c>
    </row>
    <row r="247" spans="1:7" ht="25.5">
      <c r="A247" s="218" t="s">
        <v>179</v>
      </c>
      <c r="B247" s="219" t="s">
        <v>141</v>
      </c>
      <c r="C247" s="218">
        <v>255</v>
      </c>
      <c r="D247" s="220">
        <f>2.57*1.25</f>
        <v>3.2124999999999999</v>
      </c>
      <c r="E247" s="220">
        <f>9.24*1.25</f>
        <v>11.55</v>
      </c>
      <c r="F247" s="220">
        <f>18.04*1.25</f>
        <v>22.549999999999997</v>
      </c>
      <c r="G247" s="220">
        <f>169.72*1.25</f>
        <v>212.15</v>
      </c>
    </row>
    <row r="248" spans="1:7">
      <c r="A248" s="218" t="s">
        <v>221</v>
      </c>
      <c r="B248" s="219" t="s">
        <v>150</v>
      </c>
      <c r="C248" s="218">
        <v>105</v>
      </c>
      <c r="D248" s="220">
        <v>6.14</v>
      </c>
      <c r="E248" s="220">
        <v>11.91</v>
      </c>
      <c r="F248" s="220">
        <v>10.92</v>
      </c>
      <c r="G248" s="220">
        <v>178.84</v>
      </c>
    </row>
    <row r="249" spans="1:7">
      <c r="A249" s="221" t="s">
        <v>38</v>
      </c>
      <c r="B249" s="219" t="s">
        <v>36</v>
      </c>
      <c r="C249" s="218">
        <v>180</v>
      </c>
      <c r="D249" s="220">
        <f>8.77*1.2</f>
        <v>10.523999999999999</v>
      </c>
      <c r="E249" s="220">
        <f>5.19*1.2</f>
        <v>6.2280000000000006</v>
      </c>
      <c r="F249" s="220">
        <f>39.6*1.23</f>
        <v>48.707999999999998</v>
      </c>
      <c r="G249" s="220">
        <v>304</v>
      </c>
    </row>
    <row r="250" spans="1:7" ht="25.5">
      <c r="A250" s="218" t="s">
        <v>42</v>
      </c>
      <c r="B250" s="219" t="s">
        <v>217</v>
      </c>
      <c r="C250" s="218">
        <v>200</v>
      </c>
      <c r="D250" s="220">
        <v>1</v>
      </c>
      <c r="E250" s="220">
        <v>0.1</v>
      </c>
      <c r="F250" s="220">
        <v>31</v>
      </c>
      <c r="G250" s="220">
        <v>135</v>
      </c>
    </row>
    <row r="251" spans="1:7">
      <c r="A251" s="218"/>
      <c r="B251" s="219" t="s">
        <v>11</v>
      </c>
      <c r="C251" s="218">
        <v>20</v>
      </c>
      <c r="D251" s="220">
        <v>1.52</v>
      </c>
      <c r="E251" s="220">
        <v>0.16</v>
      </c>
      <c r="F251" s="220">
        <v>9.84</v>
      </c>
      <c r="G251" s="220">
        <v>49.17</v>
      </c>
    </row>
    <row r="252" spans="1:7">
      <c r="A252" s="253" t="s">
        <v>244</v>
      </c>
      <c r="B252" s="254"/>
      <c r="C252" s="216">
        <f>SUM(C246:C251)</f>
        <v>860</v>
      </c>
      <c r="D252" s="220"/>
      <c r="E252" s="220"/>
      <c r="F252" s="220"/>
      <c r="G252" s="220"/>
    </row>
    <row r="253" spans="1:7">
      <c r="A253" s="255" t="s">
        <v>270</v>
      </c>
      <c r="B253" s="255"/>
      <c r="C253" s="255"/>
      <c r="D253" s="215">
        <f>D254+D260</f>
        <v>42.474440000000001</v>
      </c>
      <c r="E253" s="215">
        <f>E254+E260</f>
        <v>50.700459999999993</v>
      </c>
      <c r="F253" s="215">
        <f>F254+F260</f>
        <v>226.13628</v>
      </c>
      <c r="G253" s="215">
        <f>G254+G260</f>
        <v>1585.0335</v>
      </c>
    </row>
    <row r="254" spans="1:7">
      <c r="A254" s="216"/>
      <c r="B254" s="217" t="s">
        <v>66</v>
      </c>
      <c r="C254" s="216"/>
      <c r="D254" s="215">
        <f>D255+D256+D257+D258</f>
        <v>15.922499999999999</v>
      </c>
      <c r="E254" s="215">
        <f>E255+E256+E257+E258</f>
        <v>24.447499999999998</v>
      </c>
      <c r="F254" s="215">
        <f>F255+F256+F257+F258</f>
        <v>133.2475</v>
      </c>
      <c r="G254" s="215">
        <f>G255+G256+G257+G258</f>
        <v>846.56500000000005</v>
      </c>
    </row>
    <row r="255" spans="1:7" ht="25.5">
      <c r="A255" s="218" t="s">
        <v>174</v>
      </c>
      <c r="B255" s="219" t="s">
        <v>199</v>
      </c>
      <c r="C255" s="218">
        <v>253</v>
      </c>
      <c r="D255" s="220">
        <f>7.81*1.25</f>
        <v>9.7624999999999993</v>
      </c>
      <c r="E255" s="220">
        <f>4.55*1.25</f>
        <v>5.6875</v>
      </c>
      <c r="F255" s="220">
        <f>33.47*1.25</f>
        <v>41.837499999999999</v>
      </c>
      <c r="G255" s="220">
        <v>267.91000000000003</v>
      </c>
    </row>
    <row r="256" spans="1:7">
      <c r="A256" s="218"/>
      <c r="B256" s="219" t="s">
        <v>194</v>
      </c>
      <c r="C256" s="227">
        <v>60</v>
      </c>
      <c r="D256" s="220">
        <v>2.34</v>
      </c>
      <c r="E256" s="220">
        <v>18.36</v>
      </c>
      <c r="F256" s="220">
        <v>37.5</v>
      </c>
      <c r="G256" s="220">
        <v>332.57</v>
      </c>
    </row>
    <row r="257" spans="1:7" ht="25.5">
      <c r="A257" s="221" t="s">
        <v>40</v>
      </c>
      <c r="B257" s="219" t="s">
        <v>218</v>
      </c>
      <c r="C257" s="218">
        <v>200</v>
      </c>
      <c r="D257" s="220">
        <v>0.02</v>
      </c>
      <c r="E257" s="220"/>
      <c r="F257" s="220">
        <v>29.31</v>
      </c>
      <c r="G257" s="220">
        <v>123.16</v>
      </c>
    </row>
    <row r="258" spans="1:7">
      <c r="A258" s="218"/>
      <c r="B258" s="219" t="s">
        <v>11</v>
      </c>
      <c r="C258" s="218">
        <v>50</v>
      </c>
      <c r="D258" s="220">
        <f>3.04*1.25</f>
        <v>3.8</v>
      </c>
      <c r="E258" s="220">
        <f>0.32*1.25</f>
        <v>0.4</v>
      </c>
      <c r="F258" s="220">
        <f>19.68*1.25</f>
        <v>24.6</v>
      </c>
      <c r="G258" s="220">
        <f>98.34*1.25</f>
        <v>122.92500000000001</v>
      </c>
    </row>
    <row r="259" spans="1:7">
      <c r="A259" s="253" t="s">
        <v>244</v>
      </c>
      <c r="B259" s="254"/>
      <c r="C259" s="223">
        <f>SUM(C255:C258)</f>
        <v>563</v>
      </c>
      <c r="D259" s="224"/>
      <c r="E259" s="224"/>
      <c r="F259" s="224"/>
      <c r="G259" s="224"/>
    </row>
    <row r="260" spans="1:7">
      <c r="A260" s="218"/>
      <c r="B260" s="240" t="s">
        <v>67</v>
      </c>
      <c r="C260" s="223"/>
      <c r="D260" s="229">
        <f>D261+D262+D263+D264+D265</f>
        <v>26.551939999999998</v>
      </c>
      <c r="E260" s="229">
        <f>E261+E262+E263+E264+E265</f>
        <v>26.252959999999998</v>
      </c>
      <c r="F260" s="229">
        <f>F261+F262+F263+F264+F265</f>
        <v>92.888779999999997</v>
      </c>
      <c r="G260" s="229">
        <f>G261+G262+G263+G264+G265</f>
        <v>738.46849999999995</v>
      </c>
    </row>
    <row r="261" spans="1:7">
      <c r="A261" s="218" t="s">
        <v>68</v>
      </c>
      <c r="B261" s="219" t="s">
        <v>69</v>
      </c>
      <c r="C261" s="218">
        <v>100</v>
      </c>
      <c r="D261" s="220">
        <f>0.84*1.666</f>
        <v>1.3994399999999998</v>
      </c>
      <c r="E261" s="220">
        <f>3.06*1.666</f>
        <v>5.0979599999999996</v>
      </c>
      <c r="F261" s="220">
        <f>6.83*1.666</f>
        <v>11.378779999999999</v>
      </c>
      <c r="G261" s="220">
        <f>59.75*1.666</f>
        <v>99.543499999999995</v>
      </c>
    </row>
    <row r="262" spans="1:7" ht="25.5">
      <c r="A262" s="221" t="s">
        <v>101</v>
      </c>
      <c r="B262" s="219" t="s">
        <v>170</v>
      </c>
      <c r="C262" s="218">
        <v>255</v>
      </c>
      <c r="D262" s="220">
        <f>5.81*1.25</f>
        <v>7.2624999999999993</v>
      </c>
      <c r="E262" s="220">
        <f>11.82*1.25</f>
        <v>14.775</v>
      </c>
      <c r="F262" s="220">
        <f>15.48*1.25</f>
        <v>19.350000000000001</v>
      </c>
      <c r="G262" s="220">
        <f>196*1.25</f>
        <v>245</v>
      </c>
    </row>
    <row r="263" spans="1:7">
      <c r="A263" s="218" t="s">
        <v>222</v>
      </c>
      <c r="B263" s="219" t="s">
        <v>144</v>
      </c>
      <c r="C263" s="218">
        <v>200</v>
      </c>
      <c r="D263" s="220">
        <v>14.09</v>
      </c>
      <c r="E263" s="220">
        <v>5.98</v>
      </c>
      <c r="F263" s="220">
        <v>27.56</v>
      </c>
      <c r="G263" s="220">
        <v>229</v>
      </c>
    </row>
    <row r="264" spans="1:7">
      <c r="A264" s="222" t="s">
        <v>176</v>
      </c>
      <c r="B264" s="219" t="s">
        <v>10</v>
      </c>
      <c r="C264" s="222">
        <v>200</v>
      </c>
      <c r="D264" s="220">
        <v>0</v>
      </c>
      <c r="E264" s="220">
        <v>0</v>
      </c>
      <c r="F264" s="220">
        <v>10</v>
      </c>
      <c r="G264" s="220">
        <v>42</v>
      </c>
    </row>
    <row r="265" spans="1:7">
      <c r="A265" s="222"/>
      <c r="B265" s="219" t="s">
        <v>11</v>
      </c>
      <c r="C265" s="218">
        <v>50</v>
      </c>
      <c r="D265" s="220">
        <f>3.04*1.25</f>
        <v>3.8</v>
      </c>
      <c r="E265" s="220">
        <f>0.32*1.25</f>
        <v>0.4</v>
      </c>
      <c r="F265" s="220">
        <f>19.68*1.25</f>
        <v>24.6</v>
      </c>
      <c r="G265" s="220">
        <f>98.34*1.25</f>
        <v>122.92500000000001</v>
      </c>
    </row>
    <row r="266" spans="1:7">
      <c r="A266" s="253" t="s">
        <v>244</v>
      </c>
      <c r="B266" s="254"/>
      <c r="C266" s="228">
        <f>SUM(C261:C265)</f>
        <v>805</v>
      </c>
      <c r="D266" s="220"/>
      <c r="E266" s="220"/>
      <c r="F266" s="220"/>
      <c r="G266" s="220"/>
    </row>
    <row r="267" spans="1:7">
      <c r="A267" s="259" t="s">
        <v>271</v>
      </c>
      <c r="B267" s="260"/>
      <c r="C267" s="261"/>
      <c r="D267" s="215">
        <f>D268+D274</f>
        <v>34.368399999999994</v>
      </c>
      <c r="E267" s="215">
        <f>E268+E274</f>
        <v>35.950199999999995</v>
      </c>
      <c r="F267" s="215">
        <f>F268+F274</f>
        <v>214.03640000000001</v>
      </c>
      <c r="G267" s="215">
        <f>G268+G274</f>
        <v>1357.1057000000001</v>
      </c>
    </row>
    <row r="268" spans="1:7">
      <c r="A268" s="216"/>
      <c r="B268" s="217" t="s">
        <v>66</v>
      </c>
      <c r="C268" s="216"/>
      <c r="D268" s="215">
        <f>D269+D270+D271+D272</f>
        <v>13.16</v>
      </c>
      <c r="E268" s="215">
        <f>E269+E270+E271+E272</f>
        <v>10.68</v>
      </c>
      <c r="F268" s="215">
        <f>F269+F270+F271+F272</f>
        <v>99.34</v>
      </c>
      <c r="G268" s="215">
        <f>G269+G270+G271+G272</f>
        <v>568.66999999999996</v>
      </c>
    </row>
    <row r="269" spans="1:7">
      <c r="A269" s="218"/>
      <c r="B269" s="219" t="s">
        <v>41</v>
      </c>
      <c r="C269" s="218">
        <v>100</v>
      </c>
      <c r="D269" s="220">
        <v>0.4</v>
      </c>
      <c r="E269" s="220">
        <v>0</v>
      </c>
      <c r="F269" s="220">
        <v>9.8000000000000007</v>
      </c>
      <c r="G269" s="220">
        <v>42.84</v>
      </c>
    </row>
    <row r="270" spans="1:7" ht="25.5">
      <c r="A270" s="218" t="s">
        <v>174</v>
      </c>
      <c r="B270" s="219" t="s">
        <v>198</v>
      </c>
      <c r="C270" s="218">
        <v>203</v>
      </c>
      <c r="D270" s="220">
        <v>8.1999999999999993</v>
      </c>
      <c r="E270" s="220">
        <v>10.199999999999999</v>
      </c>
      <c r="F270" s="220">
        <v>50.02</v>
      </c>
      <c r="G270" s="220">
        <v>336.32</v>
      </c>
    </row>
    <row r="271" spans="1:7">
      <c r="A271" s="218" t="s">
        <v>176</v>
      </c>
      <c r="B271" s="219" t="s">
        <v>10</v>
      </c>
      <c r="C271" s="218">
        <v>200</v>
      </c>
      <c r="D271" s="220">
        <v>0</v>
      </c>
      <c r="E271" s="220">
        <v>0</v>
      </c>
      <c r="F271" s="220">
        <v>10</v>
      </c>
      <c r="G271" s="220">
        <v>42</v>
      </c>
    </row>
    <row r="272" spans="1:7">
      <c r="A272" s="222"/>
      <c r="B272" s="219" t="s">
        <v>11</v>
      </c>
      <c r="C272" s="218">
        <v>60</v>
      </c>
      <c r="D272" s="220">
        <f>3.04*1.5</f>
        <v>4.5600000000000005</v>
      </c>
      <c r="E272" s="220">
        <f>0.32*1.5</f>
        <v>0.48</v>
      </c>
      <c r="F272" s="220">
        <f>19.68*1.5</f>
        <v>29.52</v>
      </c>
      <c r="G272" s="220">
        <f>98.34*1.5</f>
        <v>147.51</v>
      </c>
    </row>
    <row r="273" spans="1:7">
      <c r="A273" s="253" t="s">
        <v>244</v>
      </c>
      <c r="B273" s="254"/>
      <c r="C273" s="235">
        <f>SUM(C269:C272)</f>
        <v>563</v>
      </c>
      <c r="D273" s="220"/>
      <c r="E273" s="220"/>
      <c r="F273" s="220"/>
      <c r="G273" s="220"/>
    </row>
    <row r="274" spans="1:7">
      <c r="A274" s="222"/>
      <c r="B274" s="240" t="s">
        <v>67</v>
      </c>
      <c r="C274" s="233"/>
      <c r="D274" s="215">
        <f>D275+D276+D277+D278+D279</f>
        <v>21.208399999999997</v>
      </c>
      <c r="E274" s="215">
        <f>E275+E276+E277+E278+E279</f>
        <v>25.270199999999999</v>
      </c>
      <c r="F274" s="215">
        <f>F275+F276+F277+F278+F279</f>
        <v>114.69640000000001</v>
      </c>
      <c r="G274" s="215">
        <f>G275+G276+G277+G278+G279</f>
        <v>788.4357</v>
      </c>
    </row>
    <row r="275" spans="1:7">
      <c r="A275" s="222" t="s">
        <v>187</v>
      </c>
      <c r="B275" s="219" t="s">
        <v>147</v>
      </c>
      <c r="C275" s="218">
        <v>100</v>
      </c>
      <c r="D275" s="220">
        <f>0.74*1.66</f>
        <v>1.2283999999999999</v>
      </c>
      <c r="E275" s="220">
        <f>0.06*1.67</f>
        <v>0.1002</v>
      </c>
      <c r="F275" s="220">
        <f>16.92*1.67</f>
        <v>28.256400000000003</v>
      </c>
      <c r="G275" s="220">
        <f>74.71*1.67</f>
        <v>124.76569999999998</v>
      </c>
    </row>
    <row r="276" spans="1:7" ht="25.5">
      <c r="A276" s="218" t="s">
        <v>117</v>
      </c>
      <c r="B276" s="219" t="s">
        <v>145</v>
      </c>
      <c r="C276" s="218">
        <v>260</v>
      </c>
      <c r="D276" s="220">
        <f>2.64*1.25</f>
        <v>3.3000000000000003</v>
      </c>
      <c r="E276" s="220">
        <f>3.56*1.25</f>
        <v>4.45</v>
      </c>
      <c r="F276" s="220">
        <f>11.76*1.25</f>
        <v>14.7</v>
      </c>
      <c r="G276" s="220">
        <f>93*1.25</f>
        <v>116.25</v>
      </c>
    </row>
    <row r="277" spans="1:7">
      <c r="A277" s="221" t="s">
        <v>290</v>
      </c>
      <c r="B277" s="219" t="s">
        <v>294</v>
      </c>
      <c r="C277" s="218">
        <v>200</v>
      </c>
      <c r="D277" s="220">
        <v>12.49</v>
      </c>
      <c r="E277" s="220">
        <v>20.399999999999999</v>
      </c>
      <c r="F277" s="220">
        <v>40.03</v>
      </c>
      <c r="G277" s="220">
        <v>393.68</v>
      </c>
    </row>
    <row r="278" spans="1:7">
      <c r="A278" s="221" t="s">
        <v>42</v>
      </c>
      <c r="B278" s="219" t="s">
        <v>216</v>
      </c>
      <c r="C278" s="218">
        <v>200</v>
      </c>
      <c r="D278" s="220">
        <f>1.15</f>
        <v>1.1499999999999999</v>
      </c>
      <c r="E278" s="220"/>
      <c r="F278" s="220">
        <v>12.03</v>
      </c>
      <c r="G278" s="220">
        <v>55.4</v>
      </c>
    </row>
    <row r="279" spans="1:7">
      <c r="A279" s="218"/>
      <c r="B279" s="219" t="s">
        <v>11</v>
      </c>
      <c r="C279" s="218">
        <v>40</v>
      </c>
      <c r="D279" s="220">
        <v>3.04</v>
      </c>
      <c r="E279" s="220">
        <v>0.32</v>
      </c>
      <c r="F279" s="220">
        <v>19.68</v>
      </c>
      <c r="G279" s="220">
        <v>98.34</v>
      </c>
    </row>
    <row r="280" spans="1:7">
      <c r="A280" s="253" t="s">
        <v>244</v>
      </c>
      <c r="B280" s="254"/>
      <c r="C280" s="216">
        <f>SUM(C275:C279)</f>
        <v>800</v>
      </c>
      <c r="D280" s="220"/>
      <c r="E280" s="220"/>
      <c r="F280" s="220"/>
      <c r="G280" s="220"/>
    </row>
    <row r="281" spans="1:7">
      <c r="A281" s="259" t="s">
        <v>274</v>
      </c>
      <c r="B281" s="260"/>
      <c r="C281" s="261"/>
      <c r="D281" s="215">
        <f>D282+D288</f>
        <v>36.862200000000001</v>
      </c>
      <c r="E281" s="215">
        <f>E282+E288</f>
        <v>45.962699999999998</v>
      </c>
      <c r="F281" s="215">
        <f>F282+F288</f>
        <v>218.44800000000001</v>
      </c>
      <c r="G281" s="215">
        <f>G282+G288</f>
        <v>1497.8517400000001</v>
      </c>
    </row>
    <row r="282" spans="1:7">
      <c r="A282" s="216"/>
      <c r="B282" s="217" t="s">
        <v>66</v>
      </c>
      <c r="C282" s="216"/>
      <c r="D282" s="215">
        <f>D283+D284+D285+D286</f>
        <v>16.98</v>
      </c>
      <c r="E282" s="215">
        <f>E283+E284+E285+E286</f>
        <v>9.27</v>
      </c>
      <c r="F282" s="215">
        <f>F283+F284+F285+F286</f>
        <v>123.73</v>
      </c>
      <c r="G282" s="215">
        <f>G283+G284+G285+G286</f>
        <v>659.46600000000001</v>
      </c>
    </row>
    <row r="283" spans="1:7">
      <c r="A283" s="221" t="s">
        <v>192</v>
      </c>
      <c r="B283" s="219" t="s">
        <v>190</v>
      </c>
      <c r="C283" s="218">
        <v>60</v>
      </c>
      <c r="D283" s="220">
        <v>4.91</v>
      </c>
      <c r="E283" s="220">
        <v>3.79</v>
      </c>
      <c r="F283" s="220">
        <v>36.090000000000003</v>
      </c>
      <c r="G283" s="220">
        <v>206.31</v>
      </c>
    </row>
    <row r="284" spans="1:7" ht="25.5">
      <c r="A284" s="218" t="s">
        <v>174</v>
      </c>
      <c r="B284" s="219" t="s">
        <v>289</v>
      </c>
      <c r="C284" s="218">
        <v>253</v>
      </c>
      <c r="D284" s="220">
        <v>7.5</v>
      </c>
      <c r="E284" s="220">
        <v>5</v>
      </c>
      <c r="F284" s="220">
        <v>42.5</v>
      </c>
      <c r="G284" s="220">
        <v>240</v>
      </c>
    </row>
    <row r="285" spans="1:7">
      <c r="A285" s="221" t="s">
        <v>223</v>
      </c>
      <c r="B285" s="219" t="s">
        <v>158</v>
      </c>
      <c r="C285" s="218">
        <v>200</v>
      </c>
      <c r="D285" s="220">
        <v>0.01</v>
      </c>
      <c r="E285" s="220"/>
      <c r="F285" s="220">
        <v>15.62</v>
      </c>
      <c r="G285" s="220">
        <v>65.646000000000001</v>
      </c>
    </row>
    <row r="286" spans="1:7">
      <c r="A286" s="221"/>
      <c r="B286" s="219" t="s">
        <v>11</v>
      </c>
      <c r="C286" s="218">
        <v>60</v>
      </c>
      <c r="D286" s="220">
        <f>3.04*1.5</f>
        <v>4.5600000000000005</v>
      </c>
      <c r="E286" s="220">
        <f>0.32*1.5</f>
        <v>0.48</v>
      </c>
      <c r="F286" s="220">
        <f>19.68*1.5</f>
        <v>29.52</v>
      </c>
      <c r="G286" s="220">
        <f>98.34*1.5</f>
        <v>147.51</v>
      </c>
    </row>
    <row r="287" spans="1:7">
      <c r="A287" s="253" t="s">
        <v>244</v>
      </c>
      <c r="B287" s="254"/>
      <c r="C287" s="216">
        <f>SUM(C283:C286)</f>
        <v>573</v>
      </c>
      <c r="D287" s="220"/>
      <c r="E287" s="220"/>
      <c r="F287" s="220"/>
      <c r="G287" s="220"/>
    </row>
    <row r="288" spans="1:7">
      <c r="A288" s="218"/>
      <c r="B288" s="240" t="s">
        <v>67</v>
      </c>
      <c r="C288" s="216"/>
      <c r="D288" s="215">
        <f>D289+D290+D291+D292+D293+D294</f>
        <v>19.882199999999997</v>
      </c>
      <c r="E288" s="215">
        <f>E289+E290+E291+E292+E293+E294</f>
        <v>36.692700000000002</v>
      </c>
      <c r="F288" s="215">
        <f>F289+F290+F291+F292+F293+F294</f>
        <v>94.718000000000004</v>
      </c>
      <c r="G288" s="215">
        <f>G289+G290+G291+G292+G293+G294</f>
        <v>838.38573999999994</v>
      </c>
    </row>
    <row r="289" spans="1:7">
      <c r="A289" s="218" t="s">
        <v>184</v>
      </c>
      <c r="B289" s="219" t="s">
        <v>151</v>
      </c>
      <c r="C289" s="218">
        <v>100</v>
      </c>
      <c r="D289" s="220">
        <f>0.8*1.67</f>
        <v>1.3360000000000001</v>
      </c>
      <c r="E289" s="220">
        <f>3.11*1.67</f>
        <v>5.1936999999999998</v>
      </c>
      <c r="F289" s="220">
        <f>5.64*1.67</f>
        <v>9.4187999999999992</v>
      </c>
      <c r="G289" s="220">
        <f>55.8*1.67</f>
        <v>93.185999999999993</v>
      </c>
    </row>
    <row r="290" spans="1:7" ht="25.5">
      <c r="A290" s="218" t="s">
        <v>124</v>
      </c>
      <c r="B290" s="219" t="s">
        <v>155</v>
      </c>
      <c r="C290" s="218">
        <v>255</v>
      </c>
      <c r="D290" s="220">
        <f>3.96*1.25</f>
        <v>4.95</v>
      </c>
      <c r="E290" s="220">
        <f>4.86*1.25</f>
        <v>6.0750000000000002</v>
      </c>
      <c r="F290" s="220">
        <f>17.01*1.25</f>
        <v>21.262500000000003</v>
      </c>
      <c r="G290" s="220">
        <f>131.81*1.254</f>
        <v>165.28973999999999</v>
      </c>
    </row>
    <row r="291" spans="1:7">
      <c r="A291" s="221" t="s">
        <v>160</v>
      </c>
      <c r="B291" s="219" t="s">
        <v>161</v>
      </c>
      <c r="C291" s="227">
        <v>110</v>
      </c>
      <c r="D291" s="220">
        <v>9.15</v>
      </c>
      <c r="E291" s="220">
        <v>14.97</v>
      </c>
      <c r="F291" s="220">
        <v>10.6</v>
      </c>
      <c r="G291" s="220">
        <v>217.68</v>
      </c>
    </row>
    <row r="292" spans="1:7">
      <c r="A292" s="218" t="s">
        <v>34</v>
      </c>
      <c r="B292" s="219" t="s">
        <v>32</v>
      </c>
      <c r="C292" s="218">
        <v>200</v>
      </c>
      <c r="D292" s="220">
        <v>3.26</v>
      </c>
      <c r="E292" s="220">
        <f>7.8*1.33</f>
        <v>10.374000000000001</v>
      </c>
      <c r="F292" s="220">
        <f>21.99*1.33</f>
        <v>29.246700000000001</v>
      </c>
      <c r="G292" s="220">
        <v>234.48</v>
      </c>
    </row>
    <row r="293" spans="1:7">
      <c r="A293" s="218" t="s">
        <v>188</v>
      </c>
      <c r="B293" s="219" t="s">
        <v>90</v>
      </c>
      <c r="C293" s="218">
        <v>200</v>
      </c>
      <c r="D293" s="220">
        <f>0.14*1.33</f>
        <v>0.18620000000000003</v>
      </c>
      <c r="E293" s="220"/>
      <c r="F293" s="220">
        <v>16.190000000000001</v>
      </c>
      <c r="G293" s="220">
        <v>89.23</v>
      </c>
    </row>
    <row r="294" spans="1:7">
      <c r="A294" s="222"/>
      <c r="B294" s="219" t="s">
        <v>37</v>
      </c>
      <c r="C294" s="218">
        <v>20</v>
      </c>
      <c r="D294" s="220">
        <v>1</v>
      </c>
      <c r="E294" s="220">
        <v>0.08</v>
      </c>
      <c r="F294" s="220">
        <v>8</v>
      </c>
      <c r="G294" s="220">
        <v>38.520000000000003</v>
      </c>
    </row>
    <row r="295" spans="1:7">
      <c r="A295" s="253" t="s">
        <v>244</v>
      </c>
      <c r="B295" s="254"/>
      <c r="C295" s="216">
        <f>SUM(C289:C294)</f>
        <v>885</v>
      </c>
      <c r="D295" s="220"/>
      <c r="E295" s="220"/>
      <c r="F295" s="220"/>
      <c r="G295" s="220"/>
    </row>
    <row r="296" spans="1:7">
      <c r="A296" s="259" t="s">
        <v>275</v>
      </c>
      <c r="B296" s="260"/>
      <c r="C296" s="261"/>
      <c r="D296" s="215">
        <f>D297+D304</f>
        <v>60.152499999999989</v>
      </c>
      <c r="E296" s="215">
        <f>E297+E304</f>
        <v>66.27</v>
      </c>
      <c r="F296" s="215">
        <f>F297+F304</f>
        <v>166.82250000000002</v>
      </c>
      <c r="G296" s="215">
        <f>G297+G304</f>
        <v>1529.8719999999998</v>
      </c>
    </row>
    <row r="297" spans="1:7">
      <c r="A297" s="216"/>
      <c r="B297" s="217" t="s">
        <v>66</v>
      </c>
      <c r="C297" s="216"/>
      <c r="D297" s="215">
        <f>D298+D299+D300+D301+D302</f>
        <v>36.149999999999991</v>
      </c>
      <c r="E297" s="215">
        <f>E298+E299+E300+E301+E302</f>
        <v>14.77</v>
      </c>
      <c r="F297" s="215">
        <f>F298+F299+F300+F301+F302</f>
        <v>88.360000000000014</v>
      </c>
      <c r="G297" s="215">
        <f>G298+G299+G300+G301+G302</f>
        <v>641.85699999999997</v>
      </c>
    </row>
    <row r="298" spans="1:7">
      <c r="A298" s="218"/>
      <c r="B298" s="219" t="s">
        <v>166</v>
      </c>
      <c r="C298" s="218">
        <v>40</v>
      </c>
      <c r="D298" s="220">
        <v>5.08</v>
      </c>
      <c r="E298" s="220">
        <v>4.5999999999999996</v>
      </c>
      <c r="F298" s="220">
        <v>0.28000000000000003</v>
      </c>
      <c r="G298" s="220">
        <v>63.911999999999999</v>
      </c>
    </row>
    <row r="299" spans="1:7" ht="25.5">
      <c r="A299" s="218" t="s">
        <v>277</v>
      </c>
      <c r="B299" s="219" t="s">
        <v>276</v>
      </c>
      <c r="C299" s="218">
        <v>160</v>
      </c>
      <c r="D299" s="220">
        <v>26.83</v>
      </c>
      <c r="E299" s="220">
        <v>9.77</v>
      </c>
      <c r="F299" s="220">
        <v>42.7</v>
      </c>
      <c r="G299" s="220">
        <v>365.9</v>
      </c>
    </row>
    <row r="300" spans="1:7">
      <c r="A300" s="218"/>
      <c r="B300" s="219" t="s">
        <v>41</v>
      </c>
      <c r="C300" s="218">
        <v>110</v>
      </c>
      <c r="D300" s="220">
        <v>0.44</v>
      </c>
      <c r="E300" s="220">
        <v>0</v>
      </c>
      <c r="F300" s="220">
        <v>10.78</v>
      </c>
      <c r="G300" s="220">
        <v>47.12</v>
      </c>
    </row>
    <row r="301" spans="1:7">
      <c r="A301" s="218" t="s">
        <v>176</v>
      </c>
      <c r="B301" s="219" t="s">
        <v>10</v>
      </c>
      <c r="C301" s="222">
        <v>200</v>
      </c>
      <c r="D301" s="220">
        <v>0</v>
      </c>
      <c r="E301" s="220">
        <v>0</v>
      </c>
      <c r="F301" s="220">
        <v>10</v>
      </c>
      <c r="G301" s="220">
        <v>42</v>
      </c>
    </row>
    <row r="302" spans="1:7">
      <c r="A302" s="218"/>
      <c r="B302" s="219" t="s">
        <v>11</v>
      </c>
      <c r="C302" s="218">
        <v>50</v>
      </c>
      <c r="D302" s="220">
        <f>3.04*1.25</f>
        <v>3.8</v>
      </c>
      <c r="E302" s="220">
        <f>0.32*1.25</f>
        <v>0.4</v>
      </c>
      <c r="F302" s="220">
        <f>19.68*1.25</f>
        <v>24.6</v>
      </c>
      <c r="G302" s="220">
        <f>98.34*1.25</f>
        <v>122.92500000000001</v>
      </c>
    </row>
    <row r="303" spans="1:7">
      <c r="A303" s="253" t="s">
        <v>244</v>
      </c>
      <c r="B303" s="254"/>
      <c r="C303" s="228">
        <f>SUM(C298:C302)</f>
        <v>560</v>
      </c>
      <c r="D303" s="220"/>
      <c r="E303" s="220"/>
      <c r="F303" s="220"/>
      <c r="G303" s="220"/>
    </row>
    <row r="304" spans="1:7">
      <c r="A304" s="218"/>
      <c r="B304" s="240" t="s">
        <v>67</v>
      </c>
      <c r="C304" s="216"/>
      <c r="D304" s="215">
        <f>D305+D306+D307+D308+D309</f>
        <v>24.002499999999998</v>
      </c>
      <c r="E304" s="215">
        <f>E305+E306+E307+E308+E309</f>
        <v>51.5</v>
      </c>
      <c r="F304" s="215">
        <f>F305+F306+F307+F308+F309</f>
        <v>78.462500000000006</v>
      </c>
      <c r="G304" s="215">
        <f>G305+G306+G307+G308+G309</f>
        <v>888.01499999999999</v>
      </c>
    </row>
    <row r="305" spans="1:7">
      <c r="A305" s="218" t="s">
        <v>281</v>
      </c>
      <c r="B305" s="219" t="s">
        <v>280</v>
      </c>
      <c r="C305" s="218">
        <v>100</v>
      </c>
      <c r="D305" s="231">
        <v>0.8</v>
      </c>
      <c r="E305" s="220">
        <v>0</v>
      </c>
      <c r="F305" s="220">
        <v>1.7</v>
      </c>
      <c r="G305" s="220">
        <v>10</v>
      </c>
    </row>
    <row r="306" spans="1:7" ht="25.5">
      <c r="A306" s="221" t="s">
        <v>181</v>
      </c>
      <c r="B306" s="219" t="s">
        <v>159</v>
      </c>
      <c r="C306" s="218">
        <v>260</v>
      </c>
      <c r="D306" s="220">
        <f>4.65*1.25</f>
        <v>5.8125</v>
      </c>
      <c r="E306" s="220">
        <f>6.92*1.25</f>
        <v>8.65</v>
      </c>
      <c r="F306" s="220">
        <f>12.49*1.25</f>
        <v>15.612500000000001</v>
      </c>
      <c r="G306" s="220">
        <f>134.268*1.25</f>
        <v>167.83500000000001</v>
      </c>
    </row>
    <row r="307" spans="1:7">
      <c r="A307" s="218" t="s">
        <v>226</v>
      </c>
      <c r="B307" s="219" t="s">
        <v>293</v>
      </c>
      <c r="C307" s="218">
        <v>250</v>
      </c>
      <c r="D307" s="220">
        <v>14.33</v>
      </c>
      <c r="E307" s="220">
        <v>42.53</v>
      </c>
      <c r="F307" s="220">
        <v>12.16</v>
      </c>
      <c r="G307" s="220">
        <v>488.68</v>
      </c>
    </row>
    <row r="308" spans="1:7" ht="25.5">
      <c r="A308" s="221" t="s">
        <v>40</v>
      </c>
      <c r="B308" s="219" t="s">
        <v>218</v>
      </c>
      <c r="C308" s="218">
        <v>200</v>
      </c>
      <c r="D308" s="220">
        <v>0.02</v>
      </c>
      <c r="E308" s="220"/>
      <c r="F308" s="220">
        <v>29.31</v>
      </c>
      <c r="G308" s="220">
        <v>123.16</v>
      </c>
    </row>
    <row r="309" spans="1:7">
      <c r="A309" s="218"/>
      <c r="B309" s="219" t="s">
        <v>11</v>
      </c>
      <c r="C309" s="218">
        <v>40</v>
      </c>
      <c r="D309" s="220">
        <v>3.04</v>
      </c>
      <c r="E309" s="220">
        <v>0.32</v>
      </c>
      <c r="F309" s="220">
        <v>19.68</v>
      </c>
      <c r="G309" s="220">
        <v>98.34</v>
      </c>
    </row>
    <row r="310" spans="1:7">
      <c r="A310" s="253" t="s">
        <v>244</v>
      </c>
      <c r="B310" s="254"/>
      <c r="C310" s="216">
        <f>SUM(C305:C309)</f>
        <v>850</v>
      </c>
      <c r="D310" s="218"/>
      <c r="E310" s="218"/>
      <c r="F310" s="218"/>
      <c r="G310" s="218"/>
    </row>
  </sheetData>
  <mergeCells count="67">
    <mergeCell ref="A310:B310"/>
    <mergeCell ref="A281:C281"/>
    <mergeCell ref="A287:B287"/>
    <mergeCell ref="A295:B295"/>
    <mergeCell ref="A296:C296"/>
    <mergeCell ref="A303:B303"/>
    <mergeCell ref="A280:B280"/>
    <mergeCell ref="A235:B235"/>
    <mergeCell ref="A236:C236"/>
    <mergeCell ref="A244:B244"/>
    <mergeCell ref="A252:B252"/>
    <mergeCell ref="A253:C253"/>
    <mergeCell ref="A259:B259"/>
    <mergeCell ref="A266:B266"/>
    <mergeCell ref="A267:C267"/>
    <mergeCell ref="A273:B273"/>
    <mergeCell ref="A228:B228"/>
    <mergeCell ref="A184:B184"/>
    <mergeCell ref="A192:B192"/>
    <mergeCell ref="A193:C193"/>
    <mergeCell ref="A199:B199"/>
    <mergeCell ref="A206:B206"/>
    <mergeCell ref="A207:C207"/>
    <mergeCell ref="A213:B213"/>
    <mergeCell ref="A221:B221"/>
    <mergeCell ref="A222:C222"/>
    <mergeCell ref="A26:C26"/>
    <mergeCell ref="A41:C41"/>
    <mergeCell ref="A56:C56"/>
    <mergeCell ref="A8:C8"/>
    <mergeCell ref="A18:B18"/>
    <mergeCell ref="A25:B25"/>
    <mergeCell ref="A40:B40"/>
    <mergeCell ref="A70:C70"/>
    <mergeCell ref="A85:C85"/>
    <mergeCell ref="A32:B32"/>
    <mergeCell ref="A55:B55"/>
    <mergeCell ref="A69:B69"/>
    <mergeCell ref="A62:B62"/>
    <mergeCell ref="A76:B76"/>
    <mergeCell ref="A84:B84"/>
    <mergeCell ref="A47:B47"/>
    <mergeCell ref="A5:A6"/>
    <mergeCell ref="B5:B6"/>
    <mergeCell ref="C5:C6"/>
    <mergeCell ref="A1:G2"/>
    <mergeCell ref="A3:G4"/>
    <mergeCell ref="D5:F5"/>
    <mergeCell ref="G5:G6"/>
    <mergeCell ref="A120:B120"/>
    <mergeCell ref="A99:C99"/>
    <mergeCell ref="A114:C114"/>
    <mergeCell ref="A161:C161"/>
    <mergeCell ref="A91:B91"/>
    <mergeCell ref="A98:B98"/>
    <mergeCell ref="A105:B105"/>
    <mergeCell ref="A113:B113"/>
    <mergeCell ref="A169:B169"/>
    <mergeCell ref="A177:B177"/>
    <mergeCell ref="A178:C178"/>
    <mergeCell ref="A128:B128"/>
    <mergeCell ref="A136:B136"/>
    <mergeCell ref="A144:B144"/>
    <mergeCell ref="A152:B152"/>
    <mergeCell ref="A160:B160"/>
    <mergeCell ref="A129:C129"/>
    <mergeCell ref="A145:C145"/>
  </mergeCells>
  <phoneticPr fontId="0" type="noConversion"/>
  <pageMargins left="0.75" right="0.75" top="1" bottom="1" header="0.5" footer="0.5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72-08 руб завтрак 7-11 лет </vt:lpstr>
      <vt:lpstr>72-08 руб завтрак 12-18 лет</vt:lpstr>
      <vt:lpstr>147 руб 7-11 лет </vt:lpstr>
      <vt:lpstr>147 руб 12-18 лет </vt:lpstr>
      <vt:lpstr>127-49 руб 7-11 лет  коррек</vt:lpstr>
      <vt:lpstr>139-29  руб 12-18 лет коррекц </vt:lpstr>
      <vt:lpstr>148 руб 12-18 лет </vt:lpstr>
      <vt:lpstr>'127-49 руб 7-11 лет  коррек'!Область_печати</vt:lpstr>
      <vt:lpstr>'139-29  руб 12-18 лет коррекц '!Область_печати</vt:lpstr>
      <vt:lpstr>'147 руб 12-18 лет '!Область_печати</vt:lpstr>
      <vt:lpstr>'147 руб 7-11 лет '!Область_печати</vt:lpstr>
      <vt:lpstr>'148 руб 12-18 лет '!Область_печати</vt:lpstr>
      <vt:lpstr>'72-08 руб завтрак 12-18 лет'!Область_печати</vt:lpstr>
      <vt:lpstr>'72-08 руб завтрак 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Admin</cp:lastModifiedBy>
  <cp:lastPrinted>2023-08-22T08:40:44Z</cp:lastPrinted>
  <dcterms:created xsi:type="dcterms:W3CDTF">2018-10-04T05:32:37Z</dcterms:created>
  <dcterms:modified xsi:type="dcterms:W3CDTF">2023-11-07T09:49:17Z</dcterms:modified>
</cp:coreProperties>
</file>